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10200"/>
  </bookViews>
  <sheets>
    <sheet name="Statement of Activities" sheetId="6" r:id="rId1"/>
    <sheet name="Gen Rev" sheetId="7" r:id="rId2"/>
    <sheet name="Gen Exp" sheetId="9" r:id="rId3"/>
    <sheet name="Gov Rev" sheetId="8" r:id="rId4"/>
    <sheet name="Gov Exp" sheetId="2" r:id="rId5"/>
  </sheets>
  <definedNames>
    <definedName name="_xlnm.Print_Area" localSheetId="2">'Gen Exp'!$A$1:$AE$727</definedName>
    <definedName name="_xlnm.Print_Area" localSheetId="1">'Gen Rev'!$A$1:$AI$724</definedName>
    <definedName name="_xlnm.Print_Area" localSheetId="4">'Gov Exp'!$A$1:$AE$727</definedName>
    <definedName name="_xlnm.Print_Area" localSheetId="3">'Gov Rev'!$A$1:$AI$724</definedName>
    <definedName name="_xlnm.Print_Area" localSheetId="0">'Statement of Activities'!$A$1:$AQ$124</definedName>
    <definedName name="_xlnm.Print_Titles" localSheetId="2">'Gen Exp'!$1:$7</definedName>
    <definedName name="_xlnm.Print_Titles" localSheetId="1">'Gen Rev'!$1:$7</definedName>
    <definedName name="_xlnm.Print_Titles" localSheetId="4">'Gov Exp'!$1:$7</definedName>
    <definedName name="_xlnm.Print_Titles" localSheetId="3">'Gov Rev'!$1:$7</definedName>
    <definedName name="_xlnm.Print_Titles" localSheetId="0">'Statement of Activities'!$1:$10</definedName>
  </definedNames>
  <calcPr calcId="145621"/>
</workbook>
</file>

<file path=xl/calcChain.xml><?xml version="1.0" encoding="utf-8"?>
<calcChain xmlns="http://schemas.openxmlformats.org/spreadsheetml/2006/main">
  <c r="AE9" i="9" l="1"/>
  <c r="AL9" i="9"/>
  <c r="AM9" i="9"/>
  <c r="AO9" i="9" s="1"/>
  <c r="AN9" i="9"/>
  <c r="AC10" i="9"/>
  <c r="AE10" i="9" s="1"/>
  <c r="AL10" i="9"/>
  <c r="AM10" i="9"/>
  <c r="AN10" i="9"/>
  <c r="AE11" i="9"/>
  <c r="AL11" i="9" s="1"/>
  <c r="AM11" i="9"/>
  <c r="AN11" i="9"/>
  <c r="AE12" i="9"/>
  <c r="AL12" i="9"/>
  <c r="AM12" i="9"/>
  <c r="AN12" i="9"/>
  <c r="AE13" i="9"/>
  <c r="AL13" i="9" s="1"/>
  <c r="AM13" i="9"/>
  <c r="AN13" i="9"/>
  <c r="AE14" i="9"/>
  <c r="AL14" i="9" s="1"/>
  <c r="AM14" i="9"/>
  <c r="AN14" i="9"/>
  <c r="AE15" i="9"/>
  <c r="AL15" i="9" s="1"/>
  <c r="AM15" i="9"/>
  <c r="AN15" i="9"/>
  <c r="AE16" i="9"/>
  <c r="AL16" i="9"/>
  <c r="AM16" i="9"/>
  <c r="AN16" i="9"/>
  <c r="AE17" i="9"/>
  <c r="AL17" i="9" s="1"/>
  <c r="AM17" i="9"/>
  <c r="AN17" i="9"/>
  <c r="AE18" i="9"/>
  <c r="AL18" i="9"/>
  <c r="AM18" i="9"/>
  <c r="AN18" i="9"/>
  <c r="AE19" i="9"/>
  <c r="AL19" i="9" s="1"/>
  <c r="AM19" i="9"/>
  <c r="AN19" i="9"/>
  <c r="Q20" i="9"/>
  <c r="AE20" i="9" s="1"/>
  <c r="AL20" i="9" s="1"/>
  <c r="AM20" i="9"/>
  <c r="AN20" i="9"/>
  <c r="AE21" i="9"/>
  <c r="AL21" i="9" s="1"/>
  <c r="AM21" i="9"/>
  <c r="AN21" i="9"/>
  <c r="AE22" i="9"/>
  <c r="AL22" i="9" s="1"/>
  <c r="AM22" i="9"/>
  <c r="AN22" i="9"/>
  <c r="AE23" i="9"/>
  <c r="AL23" i="9" s="1"/>
  <c r="AM23" i="9"/>
  <c r="AN23" i="9"/>
  <c r="AE24" i="9"/>
  <c r="AL24" i="9" s="1"/>
  <c r="AM24" i="9"/>
  <c r="AN24" i="9"/>
  <c r="AE25" i="9"/>
  <c r="AL25" i="9"/>
  <c r="AM25" i="9"/>
  <c r="AN25" i="9"/>
  <c r="Q26" i="9"/>
  <c r="AE26" i="9" s="1"/>
  <c r="AL26" i="9" s="1"/>
  <c r="AM26" i="9"/>
  <c r="AN26" i="9"/>
  <c r="Q27" i="9"/>
  <c r="AE27" i="9" s="1"/>
  <c r="AL27" i="9" s="1"/>
  <c r="AM27" i="9"/>
  <c r="AN27" i="9"/>
  <c r="Q28" i="9"/>
  <c r="AE28" i="9" s="1"/>
  <c r="AL28" i="9" s="1"/>
  <c r="AM28" i="9"/>
  <c r="AN28" i="9"/>
  <c r="AE29" i="9"/>
  <c r="AL29" i="9" s="1"/>
  <c r="AM29" i="9"/>
  <c r="AN29" i="9"/>
  <c r="AE30" i="9"/>
  <c r="AL30" i="9"/>
  <c r="AM30" i="9"/>
  <c r="AN30" i="9"/>
  <c r="AE31" i="9"/>
  <c r="AL31" i="9" s="1"/>
  <c r="AM31" i="9"/>
  <c r="AN31" i="9"/>
  <c r="AE32" i="9"/>
  <c r="AL32" i="9" s="1"/>
  <c r="AM32" i="9"/>
  <c r="AN32" i="9"/>
  <c r="AE33" i="9"/>
  <c r="AL33" i="9" s="1"/>
  <c r="AM33" i="9"/>
  <c r="AN33" i="9"/>
  <c r="AE34" i="9"/>
  <c r="AL34" i="9" s="1"/>
  <c r="AM34" i="9"/>
  <c r="AN34" i="9"/>
  <c r="AC35" i="9"/>
  <c r="AE35" i="9" s="1"/>
  <c r="AL35" i="9" s="1"/>
  <c r="AM35" i="9"/>
  <c r="AN35" i="9"/>
  <c r="AE36" i="9"/>
  <c r="AL36" i="9" s="1"/>
  <c r="AM36" i="9"/>
  <c r="AN36" i="9"/>
  <c r="AE37" i="9"/>
  <c r="AL37" i="9"/>
  <c r="AM37" i="9"/>
  <c r="AN37" i="9"/>
  <c r="AE38" i="9"/>
  <c r="AL38" i="9" s="1"/>
  <c r="AM38" i="9"/>
  <c r="AN38" i="9"/>
  <c r="AE39" i="9"/>
  <c r="AL39" i="9" s="1"/>
  <c r="AM39" i="9"/>
  <c r="AN39" i="9"/>
  <c r="AE40" i="9"/>
  <c r="AL40" i="9" s="1"/>
  <c r="AM40" i="9"/>
  <c r="AN40" i="9"/>
  <c r="AE41" i="9"/>
  <c r="AL41" i="9"/>
  <c r="AM41" i="9"/>
  <c r="AN41" i="9"/>
  <c r="AE42" i="9"/>
  <c r="AL42" i="9" s="1"/>
  <c r="AM42" i="9"/>
  <c r="AN42" i="9"/>
  <c r="AE43" i="9"/>
  <c r="AL43" i="9" s="1"/>
  <c r="AM43" i="9"/>
  <c r="AN43" i="9"/>
  <c r="Q44" i="9"/>
  <c r="AE44" i="9" s="1"/>
  <c r="AL44" i="9" s="1"/>
  <c r="AM44" i="9"/>
  <c r="AN44" i="9"/>
  <c r="AE45" i="9"/>
  <c r="AL45" i="9" s="1"/>
  <c r="AM45" i="9"/>
  <c r="AN45" i="9"/>
  <c r="AE46" i="9"/>
  <c r="AL46" i="9"/>
  <c r="AM46" i="9"/>
  <c r="AN46" i="9"/>
  <c r="AE47" i="9"/>
  <c r="AL47" i="9" s="1"/>
  <c r="AM47" i="9"/>
  <c r="AO47" i="9" s="1"/>
  <c r="AN47" i="9"/>
  <c r="AE48" i="9"/>
  <c r="AL48" i="9" s="1"/>
  <c r="AG48" i="9"/>
  <c r="AM48" i="9"/>
  <c r="AO48" i="9" s="1"/>
  <c r="AN48" i="9"/>
  <c r="AE49" i="9"/>
  <c r="AL49" i="9"/>
  <c r="AM49" i="9"/>
  <c r="AN49" i="9"/>
  <c r="AC50" i="9"/>
  <c r="AE50" i="9" s="1"/>
  <c r="AL50" i="9" s="1"/>
  <c r="AM50" i="9"/>
  <c r="AN50" i="9"/>
  <c r="AE51" i="9"/>
  <c r="AL51" i="9" s="1"/>
  <c r="AM51" i="9"/>
  <c r="AO51" i="9" s="1"/>
  <c r="AN51" i="9"/>
  <c r="AE52" i="9"/>
  <c r="AL52" i="9" s="1"/>
  <c r="AM52" i="9"/>
  <c r="AN52" i="9"/>
  <c r="AE53" i="9"/>
  <c r="AL53" i="9" s="1"/>
  <c r="AM53" i="9"/>
  <c r="AN53" i="9"/>
  <c r="AE54" i="9"/>
  <c r="AL54" i="9" s="1"/>
  <c r="AM54" i="9"/>
  <c r="AN54" i="9"/>
  <c r="AE55" i="9"/>
  <c r="AL55" i="9" s="1"/>
  <c r="AM55" i="9"/>
  <c r="AN55" i="9"/>
  <c r="AE56" i="9"/>
  <c r="AL56" i="9" s="1"/>
  <c r="AM56" i="9"/>
  <c r="AN56" i="9"/>
  <c r="AE57" i="9"/>
  <c r="AL57" i="9" s="1"/>
  <c r="AM57" i="9"/>
  <c r="AO57" i="9" s="1"/>
  <c r="AN57" i="9"/>
  <c r="AE58" i="9"/>
  <c r="AL58" i="9" s="1"/>
  <c r="AM58" i="9"/>
  <c r="AN58" i="9"/>
  <c r="AE59" i="9"/>
  <c r="AL59" i="9" s="1"/>
  <c r="AM59" i="9"/>
  <c r="AO59" i="9" s="1"/>
  <c r="AN59" i="9"/>
  <c r="AE60" i="9"/>
  <c r="AL60" i="9" s="1"/>
  <c r="AM60" i="9"/>
  <c r="AN60" i="9"/>
  <c r="AE61" i="9"/>
  <c r="AL61" i="9" s="1"/>
  <c r="AM61" i="9"/>
  <c r="AN61" i="9"/>
  <c r="AE62" i="9"/>
  <c r="AL62" i="9" s="1"/>
  <c r="AM62" i="9"/>
  <c r="AN62" i="9"/>
  <c r="AE63" i="9"/>
  <c r="AL63" i="9" s="1"/>
  <c r="AM63" i="9"/>
  <c r="AN63" i="9"/>
  <c r="AE64" i="9"/>
  <c r="AL64" i="9" s="1"/>
  <c r="AM64" i="9"/>
  <c r="AN64" i="9"/>
  <c r="AE65" i="9"/>
  <c r="AL65" i="9" s="1"/>
  <c r="AM65" i="9"/>
  <c r="AN65" i="9"/>
  <c r="AE66" i="9"/>
  <c r="AL66" i="9" s="1"/>
  <c r="AM66" i="9"/>
  <c r="AN66" i="9"/>
  <c r="AE67" i="9"/>
  <c r="AL67" i="9" s="1"/>
  <c r="AM67" i="9"/>
  <c r="AO67" i="9" s="1"/>
  <c r="AN67" i="9"/>
  <c r="AE68" i="9"/>
  <c r="AL68" i="9" s="1"/>
  <c r="AM68" i="9"/>
  <c r="AN68" i="9"/>
  <c r="AE69" i="9"/>
  <c r="AL69" i="9" s="1"/>
  <c r="AM69" i="9"/>
  <c r="AN69" i="9"/>
  <c r="AE70" i="9"/>
  <c r="AL70" i="9" s="1"/>
  <c r="AM70" i="9"/>
  <c r="AN70" i="9"/>
  <c r="AE71" i="9"/>
  <c r="AL71" i="9" s="1"/>
  <c r="AM71" i="9"/>
  <c r="AN71" i="9"/>
  <c r="AE72" i="9"/>
  <c r="AL72" i="9" s="1"/>
  <c r="AM72" i="9"/>
  <c r="AN72" i="9"/>
  <c r="AE73" i="9"/>
  <c r="AL73" i="9" s="1"/>
  <c r="AM73" i="9"/>
  <c r="AO73" i="9" s="1"/>
  <c r="AN73" i="9"/>
  <c r="AE77" i="9"/>
  <c r="AL77" i="9" s="1"/>
  <c r="AM77" i="9"/>
  <c r="AN77" i="9"/>
  <c r="AE78" i="9"/>
  <c r="AL78" i="9" s="1"/>
  <c r="AM78" i="9"/>
  <c r="AO78" i="9" s="1"/>
  <c r="AN78" i="9"/>
  <c r="AE79" i="9"/>
  <c r="AL79" i="9" s="1"/>
  <c r="AM79" i="9"/>
  <c r="AN79" i="9"/>
  <c r="AE80" i="9"/>
  <c r="AL80" i="9" s="1"/>
  <c r="AM80" i="9"/>
  <c r="AO80" i="9" s="1"/>
  <c r="AN80" i="9"/>
  <c r="AE81" i="9"/>
  <c r="AL81" i="9" s="1"/>
  <c r="AM81" i="9"/>
  <c r="AN81" i="9"/>
  <c r="AE82" i="9"/>
  <c r="AL82" i="9" s="1"/>
  <c r="AM82" i="9"/>
  <c r="AN82" i="9"/>
  <c r="AE83" i="9"/>
  <c r="AL83" i="9" s="1"/>
  <c r="AM83" i="9"/>
  <c r="AN83" i="9"/>
  <c r="AE84" i="9"/>
  <c r="AL84" i="9" s="1"/>
  <c r="AM84" i="9"/>
  <c r="AO84" i="9" s="1"/>
  <c r="AN84" i="9"/>
  <c r="AE85" i="9"/>
  <c r="AL85" i="9" s="1"/>
  <c r="AM85" i="9"/>
  <c r="AN85" i="9"/>
  <c r="AE86" i="9"/>
  <c r="AL86" i="9" s="1"/>
  <c r="AM86" i="9"/>
  <c r="AO86" i="9" s="1"/>
  <c r="AN86" i="9"/>
  <c r="AE87" i="9"/>
  <c r="AL87" i="9" s="1"/>
  <c r="AM87" i="9"/>
  <c r="AN87" i="9"/>
  <c r="AE88" i="9"/>
  <c r="AL88" i="9" s="1"/>
  <c r="AM88" i="9"/>
  <c r="AN88" i="9"/>
  <c r="AE89" i="9"/>
  <c r="AL89" i="9" s="1"/>
  <c r="AM89" i="9"/>
  <c r="AN89" i="9"/>
  <c r="AE90" i="9"/>
  <c r="AL90" i="9" s="1"/>
  <c r="AM90" i="9"/>
  <c r="AN90" i="9"/>
  <c r="AE91" i="9"/>
  <c r="AL91" i="9" s="1"/>
  <c r="AM91" i="9"/>
  <c r="AN91" i="9"/>
  <c r="AE92" i="9"/>
  <c r="AL92" i="9" s="1"/>
  <c r="AM92" i="9"/>
  <c r="AO92" i="9" s="1"/>
  <c r="AN92" i="9"/>
  <c r="AE93" i="9"/>
  <c r="AL93" i="9" s="1"/>
  <c r="AM93" i="9"/>
  <c r="AN93" i="9"/>
  <c r="AE94" i="9"/>
  <c r="AL94" i="9" s="1"/>
  <c r="AM94" i="9"/>
  <c r="AO94" i="9" s="1"/>
  <c r="AN94" i="9"/>
  <c r="AE95" i="9"/>
  <c r="AL95" i="9" s="1"/>
  <c r="AM95" i="9"/>
  <c r="AN95" i="9"/>
  <c r="AE96" i="9"/>
  <c r="AL96" i="9" s="1"/>
  <c r="AM96" i="9"/>
  <c r="AN96" i="9"/>
  <c r="AE97" i="9"/>
  <c r="AL97" i="9" s="1"/>
  <c r="AM97" i="9"/>
  <c r="AN97" i="9"/>
  <c r="AE98" i="9"/>
  <c r="AL98" i="9" s="1"/>
  <c r="AM98" i="9"/>
  <c r="AN98" i="9"/>
  <c r="AE99" i="9"/>
  <c r="AL99" i="9" s="1"/>
  <c r="AM99" i="9"/>
  <c r="AN99" i="9"/>
  <c r="AE100" i="9"/>
  <c r="AL100" i="9" s="1"/>
  <c r="AM100" i="9"/>
  <c r="AN100" i="9"/>
  <c r="AE101" i="9"/>
  <c r="AL101" i="9" s="1"/>
  <c r="AM101" i="9"/>
  <c r="AN101" i="9"/>
  <c r="AE102" i="9"/>
  <c r="AL102" i="9" s="1"/>
  <c r="AM102" i="9"/>
  <c r="AO102" i="9" s="1"/>
  <c r="AN102" i="9"/>
  <c r="AE103" i="9"/>
  <c r="AL103" i="9" s="1"/>
  <c r="AM103" i="9"/>
  <c r="AN103" i="9"/>
  <c r="AE104" i="9"/>
  <c r="AL104" i="9" s="1"/>
  <c r="AM104" i="9"/>
  <c r="AN104" i="9"/>
  <c r="AE105" i="9"/>
  <c r="AL105" i="9" s="1"/>
  <c r="AM105" i="9"/>
  <c r="AN105" i="9"/>
  <c r="AE106" i="9"/>
  <c r="AL106" i="9" s="1"/>
  <c r="AM106" i="9"/>
  <c r="AN106" i="9"/>
  <c r="AE107" i="9"/>
  <c r="AL107" i="9" s="1"/>
  <c r="AM107" i="9"/>
  <c r="AN107" i="9"/>
  <c r="AE108" i="9"/>
  <c r="AL108" i="9" s="1"/>
  <c r="AM108" i="9"/>
  <c r="AO108" i="9" s="1"/>
  <c r="AN108" i="9"/>
  <c r="AE109" i="9"/>
  <c r="AL109" i="9" s="1"/>
  <c r="AM109" i="9"/>
  <c r="AN109" i="9"/>
  <c r="AE110" i="9"/>
  <c r="AL110" i="9" s="1"/>
  <c r="AM110" i="9"/>
  <c r="AO110" i="9" s="1"/>
  <c r="AN110" i="9"/>
  <c r="AE111" i="9"/>
  <c r="AL111" i="9" s="1"/>
  <c r="AM111" i="9"/>
  <c r="AN111" i="9"/>
  <c r="Q112" i="9"/>
  <c r="AE112" i="9" s="1"/>
  <c r="AL112" i="9" s="1"/>
  <c r="AM112" i="9"/>
  <c r="AN112" i="9"/>
  <c r="AE113" i="9"/>
  <c r="AL113" i="9" s="1"/>
  <c r="AM113" i="9"/>
  <c r="AN113" i="9"/>
  <c r="AE114" i="9"/>
  <c r="AL114" i="9" s="1"/>
  <c r="AM114" i="9"/>
  <c r="AN114" i="9"/>
  <c r="AE115" i="9"/>
  <c r="AL115" i="9" s="1"/>
  <c r="AM115" i="9"/>
  <c r="AN115" i="9"/>
  <c r="AE116" i="9"/>
  <c r="AL116" i="9"/>
  <c r="AM116" i="9"/>
  <c r="AN116" i="9"/>
  <c r="AE117" i="9"/>
  <c r="AL117" i="9" s="1"/>
  <c r="AM117" i="9"/>
  <c r="AO117" i="9" s="1"/>
  <c r="AN117" i="9"/>
  <c r="AE118" i="9"/>
  <c r="AL118" i="9" s="1"/>
  <c r="AM118" i="9"/>
  <c r="AN118" i="9"/>
  <c r="AE119" i="9"/>
  <c r="AL119" i="9" s="1"/>
  <c r="AM119" i="9"/>
  <c r="AN119" i="9"/>
  <c r="AE120" i="9"/>
  <c r="AL120" i="9" s="1"/>
  <c r="AM120" i="9"/>
  <c r="AN120" i="9"/>
  <c r="AE121" i="9"/>
  <c r="AL121" i="9" s="1"/>
  <c r="AM121" i="9"/>
  <c r="AO121" i="9" s="1"/>
  <c r="AN121" i="9"/>
  <c r="Q122" i="9"/>
  <c r="AE122" i="9"/>
  <c r="AL122" i="9" s="1"/>
  <c r="AM122" i="9"/>
  <c r="AO122" i="9" s="1"/>
  <c r="AN122" i="9"/>
  <c r="AE123" i="9"/>
  <c r="AL123" i="9" s="1"/>
  <c r="AM123" i="9"/>
  <c r="AN123" i="9"/>
  <c r="AE124" i="9"/>
  <c r="AL124" i="9" s="1"/>
  <c r="AM124" i="9"/>
  <c r="AN124" i="9"/>
  <c r="AE125" i="9"/>
  <c r="AL125" i="9" s="1"/>
  <c r="AM125" i="9"/>
  <c r="AN125" i="9"/>
  <c r="AE126" i="9"/>
  <c r="AL126" i="9" s="1"/>
  <c r="AM126" i="9"/>
  <c r="AN126" i="9"/>
  <c r="AE127" i="9"/>
  <c r="AL127" i="9" s="1"/>
  <c r="AM127" i="9"/>
  <c r="AN127" i="9"/>
  <c r="AE128" i="9"/>
  <c r="AL128" i="9" s="1"/>
  <c r="AM128" i="9"/>
  <c r="AN128" i="9"/>
  <c r="AE129" i="9"/>
  <c r="AL129" i="9" s="1"/>
  <c r="AM129" i="9"/>
  <c r="AN129" i="9"/>
  <c r="AE130" i="9"/>
  <c r="AL130" i="9" s="1"/>
  <c r="AM130" i="9"/>
  <c r="AO130" i="9" s="1"/>
  <c r="AN130" i="9"/>
  <c r="AE131" i="9"/>
  <c r="AL131" i="9" s="1"/>
  <c r="AM131" i="9"/>
  <c r="AN131" i="9"/>
  <c r="AE132" i="9"/>
  <c r="AL132" i="9" s="1"/>
  <c r="AM132" i="9"/>
  <c r="AN132" i="9"/>
  <c r="AE133" i="9"/>
  <c r="AL133" i="9" s="1"/>
  <c r="AM133" i="9"/>
  <c r="AN133" i="9"/>
  <c r="AE134" i="9"/>
  <c r="AI134" i="9"/>
  <c r="AM134" i="9"/>
  <c r="AO134" i="9" s="1"/>
  <c r="AN134" i="9"/>
  <c r="AE135" i="9"/>
  <c r="AL135" i="9" s="1"/>
  <c r="AM135" i="9"/>
  <c r="AN135" i="9"/>
  <c r="AE136" i="9"/>
  <c r="AL136" i="9" s="1"/>
  <c r="AM136" i="9"/>
  <c r="AN136" i="9"/>
  <c r="AE137" i="9"/>
  <c r="AL137" i="9" s="1"/>
  <c r="AM137" i="9"/>
  <c r="AN137" i="9"/>
  <c r="AE138" i="9"/>
  <c r="AL138" i="9"/>
  <c r="AM138" i="9"/>
  <c r="AN138" i="9"/>
  <c r="AE139" i="9"/>
  <c r="AL139" i="9" s="1"/>
  <c r="AM139" i="9"/>
  <c r="AO139" i="9" s="1"/>
  <c r="AN139" i="9"/>
  <c r="AE140" i="9"/>
  <c r="AL140" i="9"/>
  <c r="AM140" i="9"/>
  <c r="AN140" i="9"/>
  <c r="AE141" i="9"/>
  <c r="AL141" i="9" s="1"/>
  <c r="AM141" i="9"/>
  <c r="AN141" i="9"/>
  <c r="AE142" i="9"/>
  <c r="AL142" i="9"/>
  <c r="AM142" i="9"/>
  <c r="AN142" i="9"/>
  <c r="AE143" i="9"/>
  <c r="AL143" i="9" s="1"/>
  <c r="AM143" i="9"/>
  <c r="AN143" i="9"/>
  <c r="AE144" i="9"/>
  <c r="AL144" i="9" s="1"/>
  <c r="AM144" i="9"/>
  <c r="AN144" i="9"/>
  <c r="AE145" i="9"/>
  <c r="AL145" i="9" s="1"/>
  <c r="AM145" i="9"/>
  <c r="AN145" i="9"/>
  <c r="AE146" i="9"/>
  <c r="AL146" i="9"/>
  <c r="AM146" i="9"/>
  <c r="AN146" i="9"/>
  <c r="AE147" i="9"/>
  <c r="AL147" i="9" s="1"/>
  <c r="AM147" i="9"/>
  <c r="AN147" i="9"/>
  <c r="AE151" i="9"/>
  <c r="AI151" i="9"/>
  <c r="AM151" i="9"/>
  <c r="AN151" i="9"/>
  <c r="AE152" i="9"/>
  <c r="AL152" i="9"/>
  <c r="AM152" i="9"/>
  <c r="AN152" i="9"/>
  <c r="AE153" i="9"/>
  <c r="AL153" i="9" s="1"/>
  <c r="AM153" i="9"/>
  <c r="AN153" i="9"/>
  <c r="AE154" i="9"/>
  <c r="AL154" i="9" s="1"/>
  <c r="AM154" i="9"/>
  <c r="AN154" i="9"/>
  <c r="AE155" i="9"/>
  <c r="AL155" i="9" s="1"/>
  <c r="AM155" i="9"/>
  <c r="AN155" i="9"/>
  <c r="AE156" i="9"/>
  <c r="AL156" i="9" s="1"/>
  <c r="AM156" i="9"/>
  <c r="AN156" i="9"/>
  <c r="AE157" i="9"/>
  <c r="AL157" i="9" s="1"/>
  <c r="AM157" i="9"/>
  <c r="AN157" i="9"/>
  <c r="AE158" i="9"/>
  <c r="AL158" i="9" s="1"/>
  <c r="AM158" i="9"/>
  <c r="AN158" i="9"/>
  <c r="AE159" i="9"/>
  <c r="AL159" i="9" s="1"/>
  <c r="AM159" i="9"/>
  <c r="AN159" i="9"/>
  <c r="Q160" i="9"/>
  <c r="AE160" i="9" s="1"/>
  <c r="AL160" i="9" s="1"/>
  <c r="AM160" i="9"/>
  <c r="AN160" i="9"/>
  <c r="AE161" i="9"/>
  <c r="AL161" i="9" s="1"/>
  <c r="AM161" i="9"/>
  <c r="AN161" i="9"/>
  <c r="AE162" i="9"/>
  <c r="AL162" i="9" s="1"/>
  <c r="AM162" i="9"/>
  <c r="AO162" i="9" s="1"/>
  <c r="AN162" i="9"/>
  <c r="AE163" i="9"/>
  <c r="AL163" i="9"/>
  <c r="AM163" i="9"/>
  <c r="AN163" i="9"/>
  <c r="AE164" i="9"/>
  <c r="AL164" i="9" s="1"/>
  <c r="AM164" i="9"/>
  <c r="AN164" i="9"/>
  <c r="AE165" i="9"/>
  <c r="AI165" i="9"/>
  <c r="AM165" i="9"/>
  <c r="AN165" i="9"/>
  <c r="AE166" i="9"/>
  <c r="AL166" i="9" s="1"/>
  <c r="AM166" i="9"/>
  <c r="AN166" i="9"/>
  <c r="AE167" i="9"/>
  <c r="AL167" i="9" s="1"/>
  <c r="AM167" i="9"/>
  <c r="AO167" i="9" s="1"/>
  <c r="AN167" i="9"/>
  <c r="AE168" i="9"/>
  <c r="AL168" i="9" s="1"/>
  <c r="AM168" i="9"/>
  <c r="AN168" i="9"/>
  <c r="AE169" i="9"/>
  <c r="AL169" i="9" s="1"/>
  <c r="AM169" i="9"/>
  <c r="AO169" i="9" s="1"/>
  <c r="AN169" i="9"/>
  <c r="AE170" i="9"/>
  <c r="AL170" i="9" s="1"/>
  <c r="AM170" i="9"/>
  <c r="AN170" i="9"/>
  <c r="AE171" i="9"/>
  <c r="AL171" i="9" s="1"/>
  <c r="AM171" i="9"/>
  <c r="AN171" i="9"/>
  <c r="AC172" i="9"/>
  <c r="AE172" i="9" s="1"/>
  <c r="AL172" i="9" s="1"/>
  <c r="AM172" i="9"/>
  <c r="AN172" i="9"/>
  <c r="AE173" i="9"/>
  <c r="AL173" i="9" s="1"/>
  <c r="AM173" i="9"/>
  <c r="AN173" i="9"/>
  <c r="AE174" i="9"/>
  <c r="AI174" i="9"/>
  <c r="AM174" i="9"/>
  <c r="AN174" i="9"/>
  <c r="Q175" i="9"/>
  <c r="AE175" i="9" s="1"/>
  <c r="AL175" i="9" s="1"/>
  <c r="AM175" i="9"/>
  <c r="AN175" i="9"/>
  <c r="AE176" i="9"/>
  <c r="AL176" i="9" s="1"/>
  <c r="AM176" i="9"/>
  <c r="AN176" i="9"/>
  <c r="AE177" i="9"/>
  <c r="AL177" i="9" s="1"/>
  <c r="AM177" i="9"/>
  <c r="AN177" i="9"/>
  <c r="Q178" i="9"/>
  <c r="AE178" i="9" s="1"/>
  <c r="AL178" i="9" s="1"/>
  <c r="AM178" i="9"/>
  <c r="AN178" i="9"/>
  <c r="AE179" i="9"/>
  <c r="AL179" i="9"/>
  <c r="AM179" i="9"/>
  <c r="AO179" i="9" s="1"/>
  <c r="AN179" i="9"/>
  <c r="AE180" i="9"/>
  <c r="AL180" i="9" s="1"/>
  <c r="AM180" i="9"/>
  <c r="AO180" i="9" s="1"/>
  <c r="AN180" i="9"/>
  <c r="AE181" i="9"/>
  <c r="AL181" i="9" s="1"/>
  <c r="AM181" i="9"/>
  <c r="AN181" i="9"/>
  <c r="AE182" i="9"/>
  <c r="AL182" i="9" s="1"/>
  <c r="AM182" i="9"/>
  <c r="AN182" i="9"/>
  <c r="AE183" i="9"/>
  <c r="AL183" i="9" s="1"/>
  <c r="AM183" i="9"/>
  <c r="AN183" i="9"/>
  <c r="AE184" i="9"/>
  <c r="AL184" i="9" s="1"/>
  <c r="AM184" i="9"/>
  <c r="AN184" i="9"/>
  <c r="AE185" i="9"/>
  <c r="AL185" i="9" s="1"/>
  <c r="AM185" i="9"/>
  <c r="AO185" i="9" s="1"/>
  <c r="AN185" i="9"/>
  <c r="AE186" i="9"/>
  <c r="AL186" i="9"/>
  <c r="AM186" i="9"/>
  <c r="AN186" i="9"/>
  <c r="AE187" i="9"/>
  <c r="AL187" i="9"/>
  <c r="AM187" i="9"/>
  <c r="AO187" i="9" s="1"/>
  <c r="AN187" i="9"/>
  <c r="AE188" i="9"/>
  <c r="AL188" i="9"/>
  <c r="AM188" i="9"/>
  <c r="AO188" i="9" s="1"/>
  <c r="AN188" i="9"/>
  <c r="AE189" i="9"/>
  <c r="AL189" i="9" s="1"/>
  <c r="AM189" i="9"/>
  <c r="AN189" i="9"/>
  <c r="AE190" i="9"/>
  <c r="AL190" i="9"/>
  <c r="AM190" i="9"/>
  <c r="AN190" i="9"/>
  <c r="Q191" i="9"/>
  <c r="AE191" i="9"/>
  <c r="AL191" i="9" s="1"/>
  <c r="AM191" i="9"/>
  <c r="AN191" i="9"/>
  <c r="AE192" i="9"/>
  <c r="AL192" i="9" s="1"/>
  <c r="AM192" i="9"/>
  <c r="AN192" i="9"/>
  <c r="AE193" i="9"/>
  <c r="AL193" i="9" s="1"/>
  <c r="AM193" i="9"/>
  <c r="AN193" i="9"/>
  <c r="AE194" i="9"/>
  <c r="AL194" i="9" s="1"/>
  <c r="AM194" i="9"/>
  <c r="AN194" i="9"/>
  <c r="AE195" i="9"/>
  <c r="AL195" i="9" s="1"/>
  <c r="AM195" i="9"/>
  <c r="AN195" i="9"/>
  <c r="AE196" i="9"/>
  <c r="AL196" i="9" s="1"/>
  <c r="AM196" i="9"/>
  <c r="AN196" i="9"/>
  <c r="AE197" i="9"/>
  <c r="AL197" i="9" s="1"/>
  <c r="AM197" i="9"/>
  <c r="AN197" i="9"/>
  <c r="AE198" i="9"/>
  <c r="AL198" i="9" s="1"/>
  <c r="AM198" i="9"/>
  <c r="AN198" i="9"/>
  <c r="AE199" i="9"/>
  <c r="AL199" i="9" s="1"/>
  <c r="AM199" i="9"/>
  <c r="AN199" i="9"/>
  <c r="AC200" i="9"/>
  <c r="AE200" i="9" s="1"/>
  <c r="AL200" i="9" s="1"/>
  <c r="AM200" i="9"/>
  <c r="AN200" i="9"/>
  <c r="Q201" i="9"/>
  <c r="AE201" i="9"/>
  <c r="AL201" i="9" s="1"/>
  <c r="AM201" i="9"/>
  <c r="AN201" i="9"/>
  <c r="AE202" i="9"/>
  <c r="AL202" i="9" s="1"/>
  <c r="AM202" i="9"/>
  <c r="AN202" i="9"/>
  <c r="AE203" i="9"/>
  <c r="AL203" i="9"/>
  <c r="AM203" i="9"/>
  <c r="AN203" i="9"/>
  <c r="AE204" i="9"/>
  <c r="AL204" i="9"/>
  <c r="AM204" i="9"/>
  <c r="AN204" i="9"/>
  <c r="AE205" i="9"/>
  <c r="AL205" i="9"/>
  <c r="AM205" i="9"/>
  <c r="AN205" i="9"/>
  <c r="AE206" i="9"/>
  <c r="AL206" i="9" s="1"/>
  <c r="AM206" i="9"/>
  <c r="AO206" i="9" s="1"/>
  <c r="AN206" i="9"/>
  <c r="AE207" i="9"/>
  <c r="AL207" i="9" s="1"/>
  <c r="AM207" i="9"/>
  <c r="AN207" i="9"/>
  <c r="AE208" i="9"/>
  <c r="AL208" i="9" s="1"/>
  <c r="AM208" i="9"/>
  <c r="AN208" i="9"/>
  <c r="AE209" i="9"/>
  <c r="AL209" i="9" s="1"/>
  <c r="AM209" i="9"/>
  <c r="AN209" i="9"/>
  <c r="AE210" i="9"/>
  <c r="AL210" i="9" s="1"/>
  <c r="AM210" i="9"/>
  <c r="AN210" i="9"/>
  <c r="AE211" i="9"/>
  <c r="AL211" i="9"/>
  <c r="AM211" i="9"/>
  <c r="AO211" i="9" s="1"/>
  <c r="AN211" i="9"/>
  <c r="AE212" i="9"/>
  <c r="AL212" i="9"/>
  <c r="AM212" i="9"/>
  <c r="AO212" i="9" s="1"/>
  <c r="AN212" i="9"/>
  <c r="AE213" i="9"/>
  <c r="AL213" i="9"/>
  <c r="AM213" i="9"/>
  <c r="AO213" i="9" s="1"/>
  <c r="AN213" i="9"/>
  <c r="AE214" i="9"/>
  <c r="AL214" i="9" s="1"/>
  <c r="AM214" i="9"/>
  <c r="AN214" i="9"/>
  <c r="AE215" i="9"/>
  <c r="AL215" i="9"/>
  <c r="AM215" i="9"/>
  <c r="AN215" i="9"/>
  <c r="AE216" i="9"/>
  <c r="AL216" i="9"/>
  <c r="AM216" i="9"/>
  <c r="AN216" i="9"/>
  <c r="AE217" i="9"/>
  <c r="AL217" i="9"/>
  <c r="AM217" i="9"/>
  <c r="AN217" i="9"/>
  <c r="AE218" i="9"/>
  <c r="AL218" i="9" s="1"/>
  <c r="AM218" i="9"/>
  <c r="AN218" i="9"/>
  <c r="AE219" i="9"/>
  <c r="AL219" i="9" s="1"/>
  <c r="AM219" i="9"/>
  <c r="AN219" i="9"/>
  <c r="AE223" i="9"/>
  <c r="AL223" i="9" s="1"/>
  <c r="AM223" i="9"/>
  <c r="AN223" i="9"/>
  <c r="AE224" i="9"/>
  <c r="AL224" i="9" s="1"/>
  <c r="AM224" i="9"/>
  <c r="AN224" i="9"/>
  <c r="AE225" i="9"/>
  <c r="AL225" i="9" s="1"/>
  <c r="AM225" i="9"/>
  <c r="AN225" i="9"/>
  <c r="AE226" i="9"/>
  <c r="AL226" i="9" s="1"/>
  <c r="AM226" i="9"/>
  <c r="AN226" i="9"/>
  <c r="AE227" i="9"/>
  <c r="AL227" i="9" s="1"/>
  <c r="AM227" i="9"/>
  <c r="AN227" i="9"/>
  <c r="E228" i="9"/>
  <c r="AE228" i="9" s="1"/>
  <c r="AL228" i="9" s="1"/>
  <c r="Q228" i="9"/>
  <c r="AM228" i="9"/>
  <c r="AN228" i="9"/>
  <c r="Q229" i="9"/>
  <c r="AE229" i="9" s="1"/>
  <c r="AL229" i="9" s="1"/>
  <c r="AM229" i="9"/>
  <c r="AN229" i="9"/>
  <c r="AE230" i="9"/>
  <c r="AL230" i="9" s="1"/>
  <c r="AM230" i="9"/>
  <c r="AN230" i="9"/>
  <c r="AE231" i="9"/>
  <c r="AL231" i="9" s="1"/>
  <c r="AM231" i="9"/>
  <c r="AN231" i="9"/>
  <c r="AE232" i="9"/>
  <c r="AL232" i="9" s="1"/>
  <c r="AM232" i="9"/>
  <c r="AN232" i="9"/>
  <c r="AE233" i="9"/>
  <c r="AL233" i="9" s="1"/>
  <c r="AM233" i="9"/>
  <c r="AN233" i="9"/>
  <c r="AE234" i="9"/>
  <c r="AL234" i="9" s="1"/>
  <c r="AM234" i="9"/>
  <c r="AN234" i="9"/>
  <c r="AE235" i="9"/>
  <c r="AL235" i="9"/>
  <c r="AM235" i="9"/>
  <c r="AN235" i="9"/>
  <c r="AE236" i="9"/>
  <c r="AL236" i="9"/>
  <c r="AM236" i="9"/>
  <c r="AN236" i="9"/>
  <c r="AE237" i="9"/>
  <c r="AL237" i="9" s="1"/>
  <c r="AM237" i="9"/>
  <c r="AO237" i="9" s="1"/>
  <c r="AN237" i="9"/>
  <c r="AE238" i="9"/>
  <c r="AL238" i="9" s="1"/>
  <c r="AM238" i="9"/>
  <c r="AN238" i="9"/>
  <c r="AE239" i="9"/>
  <c r="AL239" i="9" s="1"/>
  <c r="AM239" i="9"/>
  <c r="AN239" i="9"/>
  <c r="AE240" i="9"/>
  <c r="AL240" i="9" s="1"/>
  <c r="AM240" i="9"/>
  <c r="AN240" i="9"/>
  <c r="AE241" i="9"/>
  <c r="AL241" i="9" s="1"/>
  <c r="AM241" i="9"/>
  <c r="AN241" i="9"/>
  <c r="AE242" i="9"/>
  <c r="AI242" i="9"/>
  <c r="AM242" i="9"/>
  <c r="AN242" i="9"/>
  <c r="AE243" i="9"/>
  <c r="AI243" i="9"/>
  <c r="AM243" i="9"/>
  <c r="AN243" i="9"/>
  <c r="AE244" i="9"/>
  <c r="AL244" i="9" s="1"/>
  <c r="AM244" i="9"/>
  <c r="AO244" i="9" s="1"/>
  <c r="AN244" i="9"/>
  <c r="AE245" i="9"/>
  <c r="AL245" i="9"/>
  <c r="AM245" i="9"/>
  <c r="AN245" i="9"/>
  <c r="AE246" i="9"/>
  <c r="AL246" i="9"/>
  <c r="AM246" i="9"/>
  <c r="AO246" i="9" s="1"/>
  <c r="AN246" i="9"/>
  <c r="AE247" i="9"/>
  <c r="AI247" i="9"/>
  <c r="AM247" i="9"/>
  <c r="AO247" i="9" s="1"/>
  <c r="AN247" i="9"/>
  <c r="Q248" i="9"/>
  <c r="AE248" i="9"/>
  <c r="AL248" i="9"/>
  <c r="AM248" i="9"/>
  <c r="AN248" i="9"/>
  <c r="AE249" i="9"/>
  <c r="AL249" i="9"/>
  <c r="AM249" i="9"/>
  <c r="AN249" i="9"/>
  <c r="AE250" i="9"/>
  <c r="AL250" i="9" s="1"/>
  <c r="AM250" i="9"/>
  <c r="AN250" i="9"/>
  <c r="AE251" i="9"/>
  <c r="AL251" i="9"/>
  <c r="AM251" i="9"/>
  <c r="AN251" i="9"/>
  <c r="Q252" i="9"/>
  <c r="AE252" i="9"/>
  <c r="AL252" i="9" s="1"/>
  <c r="AM252" i="9"/>
  <c r="AO252" i="9" s="1"/>
  <c r="AN252" i="9"/>
  <c r="AE253" i="9"/>
  <c r="AL253" i="9" s="1"/>
  <c r="AM253" i="9"/>
  <c r="AN253" i="9"/>
  <c r="AE254" i="9"/>
  <c r="AL254" i="9" s="1"/>
  <c r="AM254" i="9"/>
  <c r="AN254" i="9"/>
  <c r="AE255" i="9"/>
  <c r="AL255" i="9" s="1"/>
  <c r="AM255" i="9"/>
  <c r="AN255" i="9"/>
  <c r="Q256" i="9"/>
  <c r="AE256" i="9" s="1"/>
  <c r="AL256" i="9" s="1"/>
  <c r="AM256" i="9"/>
  <c r="AN256" i="9"/>
  <c r="AE257" i="9"/>
  <c r="AL257" i="9"/>
  <c r="AM257" i="9"/>
  <c r="AN257" i="9"/>
  <c r="AE258" i="9"/>
  <c r="AL258" i="9"/>
  <c r="AM258" i="9"/>
  <c r="AN258" i="9"/>
  <c r="AE259" i="9"/>
  <c r="AL259" i="9"/>
  <c r="AM259" i="9"/>
  <c r="AN259" i="9"/>
  <c r="AE260" i="9"/>
  <c r="AL260" i="9" s="1"/>
  <c r="AM260" i="9"/>
  <c r="AN260" i="9"/>
  <c r="AE261" i="9"/>
  <c r="AL261" i="9"/>
  <c r="AM261" i="9"/>
  <c r="AO261" i="9" s="1"/>
  <c r="AN261" i="9"/>
  <c r="AE262" i="9"/>
  <c r="AL262" i="9"/>
  <c r="AM262" i="9"/>
  <c r="AO262" i="9" s="1"/>
  <c r="AN262" i="9"/>
  <c r="AE263" i="9"/>
  <c r="AG263" i="9"/>
  <c r="AI263" i="9"/>
  <c r="AM263" i="9"/>
  <c r="AN263" i="9"/>
  <c r="AE264" i="9"/>
  <c r="AL264" i="9" s="1"/>
  <c r="AM264" i="9"/>
  <c r="AN264" i="9"/>
  <c r="AE265" i="9"/>
  <c r="AL265" i="9" s="1"/>
  <c r="AM265" i="9"/>
  <c r="AN265" i="9"/>
  <c r="AE266" i="9"/>
  <c r="AL266" i="9" s="1"/>
  <c r="AM266" i="9"/>
  <c r="AN266" i="9"/>
  <c r="AE267" i="9"/>
  <c r="AL267" i="9" s="1"/>
  <c r="AM267" i="9"/>
  <c r="AN267" i="9"/>
  <c r="AE268" i="9"/>
  <c r="AL268" i="9" s="1"/>
  <c r="AM268" i="9"/>
  <c r="AN268" i="9"/>
  <c r="AE269" i="9"/>
  <c r="AL269" i="9" s="1"/>
  <c r="AM269" i="9"/>
  <c r="AN269" i="9"/>
  <c r="AE270" i="9"/>
  <c r="AL270" i="9" s="1"/>
  <c r="AM270" i="9"/>
  <c r="AN270" i="9"/>
  <c r="AE271" i="9"/>
  <c r="AL271" i="9" s="1"/>
  <c r="AM271" i="9"/>
  <c r="AN271" i="9"/>
  <c r="AE272" i="9"/>
  <c r="AL272" i="9" s="1"/>
  <c r="AM272" i="9"/>
  <c r="AN272" i="9"/>
  <c r="AE273" i="9"/>
  <c r="AL273" i="9" s="1"/>
  <c r="AM273" i="9"/>
  <c r="AN273" i="9"/>
  <c r="AE274" i="9"/>
  <c r="AL274" i="9" s="1"/>
  <c r="AM274" i="9"/>
  <c r="AN274" i="9"/>
  <c r="Q275" i="9"/>
  <c r="AE275" i="9" s="1"/>
  <c r="AI275" i="9"/>
  <c r="AM275" i="9"/>
  <c r="AN275" i="9"/>
  <c r="Q276" i="9"/>
  <c r="AE276" i="9" s="1"/>
  <c r="AL276" i="9" s="1"/>
  <c r="AM276" i="9"/>
  <c r="AN276" i="9"/>
  <c r="AE277" i="9"/>
  <c r="AL277" i="9" s="1"/>
  <c r="AM277" i="9"/>
  <c r="AN277" i="9"/>
  <c r="AE278" i="9"/>
  <c r="AL278" i="9" s="1"/>
  <c r="AM278" i="9"/>
  <c r="AN278" i="9"/>
  <c r="AE279" i="9"/>
  <c r="AL279" i="9" s="1"/>
  <c r="AM279" i="9"/>
  <c r="AN279" i="9"/>
  <c r="AE280" i="9"/>
  <c r="AL280" i="9" s="1"/>
  <c r="AM280" i="9"/>
  <c r="AN280" i="9"/>
  <c r="AE281" i="9"/>
  <c r="AL281" i="9" s="1"/>
  <c r="AM281" i="9"/>
  <c r="AN281" i="9"/>
  <c r="AE282" i="9"/>
  <c r="AL282" i="9" s="1"/>
  <c r="AM282" i="9"/>
  <c r="AN282" i="9"/>
  <c r="AE283" i="9"/>
  <c r="AL283" i="9" s="1"/>
  <c r="AM283" i="9"/>
  <c r="AN283" i="9"/>
  <c r="Q284" i="9"/>
  <c r="AC284" i="9"/>
  <c r="AM284" i="9"/>
  <c r="AN284" i="9"/>
  <c r="AE285" i="9"/>
  <c r="AL285" i="9" s="1"/>
  <c r="AM285" i="9"/>
  <c r="AN285" i="9"/>
  <c r="AE286" i="9"/>
  <c r="AL286" i="9" s="1"/>
  <c r="AM286" i="9"/>
  <c r="AN286" i="9"/>
  <c r="Q287" i="9"/>
  <c r="AE287" i="9" s="1"/>
  <c r="AL287" i="9" s="1"/>
  <c r="AM287" i="9"/>
  <c r="AN287" i="9"/>
  <c r="AE288" i="9"/>
  <c r="AL288" i="9" s="1"/>
  <c r="AM288" i="9"/>
  <c r="AN288" i="9"/>
  <c r="AE289" i="9"/>
  <c r="AL289" i="9"/>
  <c r="AM289" i="9"/>
  <c r="AN289" i="9"/>
  <c r="AE290" i="9"/>
  <c r="AL290" i="9"/>
  <c r="AM290" i="9"/>
  <c r="AN290" i="9"/>
  <c r="AE291" i="9"/>
  <c r="AL291" i="9" s="1"/>
  <c r="AM291" i="9"/>
  <c r="AN291" i="9"/>
  <c r="Q292" i="9"/>
  <c r="AE292" i="9" s="1"/>
  <c r="AL292" i="9" s="1"/>
  <c r="AM292" i="9"/>
  <c r="AN292" i="9"/>
  <c r="AE296" i="9"/>
  <c r="AL296" i="9" s="1"/>
  <c r="AM296" i="9"/>
  <c r="AN296" i="9"/>
  <c r="AE297" i="9"/>
  <c r="AL297" i="9" s="1"/>
  <c r="AM297" i="9"/>
  <c r="AO297" i="9" s="1"/>
  <c r="AN297" i="9"/>
  <c r="AE298" i="9"/>
  <c r="AL298" i="9" s="1"/>
  <c r="AM298" i="9"/>
  <c r="AO298" i="9" s="1"/>
  <c r="AN298" i="9"/>
  <c r="AE299" i="9"/>
  <c r="AL299" i="9" s="1"/>
  <c r="AM299" i="9"/>
  <c r="AN299" i="9"/>
  <c r="AE300" i="9"/>
  <c r="AL300" i="9" s="1"/>
  <c r="AM300" i="9"/>
  <c r="AN300" i="9"/>
  <c r="AC301" i="9"/>
  <c r="AE301" i="9" s="1"/>
  <c r="AL301" i="9" s="1"/>
  <c r="AM301" i="9"/>
  <c r="AN301" i="9"/>
  <c r="AE302" i="9"/>
  <c r="AL302" i="9" s="1"/>
  <c r="AM302" i="9"/>
  <c r="AN302" i="9"/>
  <c r="AE303" i="9"/>
  <c r="AL303" i="9" s="1"/>
  <c r="AM303" i="9"/>
  <c r="AN303" i="9"/>
  <c r="AE304" i="9"/>
  <c r="AI304" i="9"/>
  <c r="AM304" i="9"/>
  <c r="AN304" i="9"/>
  <c r="AE305" i="9"/>
  <c r="AL305" i="9" s="1"/>
  <c r="AM305" i="9"/>
  <c r="AN305" i="9"/>
  <c r="AE306" i="9"/>
  <c r="AI306" i="9"/>
  <c r="AM306" i="9"/>
  <c r="AN306" i="9"/>
  <c r="AE307" i="9"/>
  <c r="AL307" i="9" s="1"/>
  <c r="AM307" i="9"/>
  <c r="AN307" i="9"/>
  <c r="AE308" i="9"/>
  <c r="AL308" i="9" s="1"/>
  <c r="AM308" i="9"/>
  <c r="AN308" i="9"/>
  <c r="AE309" i="9"/>
  <c r="AL309" i="9" s="1"/>
  <c r="AM309" i="9"/>
  <c r="AN309" i="9"/>
  <c r="AE310" i="9"/>
  <c r="AL310" i="9" s="1"/>
  <c r="AM310" i="9"/>
  <c r="AN310" i="9"/>
  <c r="AE311" i="9"/>
  <c r="AL311" i="9" s="1"/>
  <c r="AM311" i="9"/>
  <c r="AN311" i="9"/>
  <c r="AC312" i="9"/>
  <c r="AE312" i="9" s="1"/>
  <c r="AL312" i="9" s="1"/>
  <c r="AM312" i="9"/>
  <c r="AO312" i="9" s="1"/>
  <c r="AN312" i="9"/>
  <c r="AE313" i="9"/>
  <c r="AL313" i="9"/>
  <c r="AM313" i="9"/>
  <c r="AO313" i="9" s="1"/>
  <c r="AN313" i="9"/>
  <c r="AE314" i="9"/>
  <c r="AL314" i="9" s="1"/>
  <c r="AM314" i="9"/>
  <c r="AN314" i="9"/>
  <c r="AE315" i="9"/>
  <c r="AL315" i="9"/>
  <c r="AM315" i="9"/>
  <c r="AN315" i="9"/>
  <c r="AE316" i="9"/>
  <c r="AL316" i="9"/>
  <c r="AM316" i="9"/>
  <c r="AN316" i="9"/>
  <c r="AE317" i="9"/>
  <c r="AL317" i="9" s="1"/>
  <c r="AM317" i="9"/>
  <c r="AN317" i="9"/>
  <c r="AE318" i="9"/>
  <c r="AL318" i="9" s="1"/>
  <c r="AM318" i="9"/>
  <c r="AN318" i="9"/>
  <c r="AE319" i="9"/>
  <c r="AL319" i="9" s="1"/>
  <c r="AM319" i="9"/>
  <c r="AN319" i="9"/>
  <c r="AE320" i="9"/>
  <c r="AL320" i="9" s="1"/>
  <c r="AM320" i="9"/>
  <c r="AN320" i="9"/>
  <c r="AE321" i="9"/>
  <c r="AL321" i="9" s="1"/>
  <c r="AM321" i="9"/>
  <c r="AN321" i="9"/>
  <c r="AE322" i="9"/>
  <c r="AL322" i="9" s="1"/>
  <c r="AM322" i="9"/>
  <c r="AN322" i="9"/>
  <c r="AE323" i="9"/>
  <c r="AL323" i="9"/>
  <c r="AM323" i="9"/>
  <c r="AO323" i="9" s="1"/>
  <c r="AN323" i="9"/>
  <c r="AE324" i="9"/>
  <c r="AL324" i="9"/>
  <c r="AM324" i="9"/>
  <c r="AO324" i="9" s="1"/>
  <c r="AN324" i="9"/>
  <c r="AE325" i="9"/>
  <c r="AL325" i="9" s="1"/>
  <c r="AM325" i="9"/>
  <c r="AN325" i="9"/>
  <c r="AE326" i="9"/>
  <c r="AL326" i="9" s="1"/>
  <c r="AM326" i="9"/>
  <c r="AN326" i="9"/>
  <c r="AE327" i="9"/>
  <c r="AL327" i="9" s="1"/>
  <c r="AM327" i="9"/>
  <c r="AN327" i="9"/>
  <c r="AE328" i="9"/>
  <c r="AL328" i="9" s="1"/>
  <c r="AM328" i="9"/>
  <c r="AN328" i="9"/>
  <c r="AE329" i="9"/>
  <c r="AL329" i="9" s="1"/>
  <c r="AM329" i="9"/>
  <c r="AN329" i="9"/>
  <c r="AE330" i="9"/>
  <c r="AL330" i="9" s="1"/>
  <c r="AM330" i="9"/>
  <c r="AN330" i="9"/>
  <c r="AE331" i="9"/>
  <c r="AL331" i="9"/>
  <c r="AM331" i="9"/>
  <c r="AN331" i="9"/>
  <c r="AE332" i="9"/>
  <c r="AL332" i="9"/>
  <c r="AM332" i="9"/>
  <c r="AN332" i="9"/>
  <c r="AE333" i="9"/>
  <c r="AL333" i="9" s="1"/>
  <c r="AM333" i="9"/>
  <c r="AO333" i="9" s="1"/>
  <c r="AN333" i="9"/>
  <c r="AE334" i="9"/>
  <c r="AL334" i="9" s="1"/>
  <c r="AM334" i="9"/>
  <c r="AN334" i="9"/>
  <c r="AE335" i="9"/>
  <c r="AL335" i="9"/>
  <c r="AM335" i="9"/>
  <c r="AN335" i="9"/>
  <c r="AE336" i="9"/>
  <c r="AL336" i="9"/>
  <c r="AM336" i="9"/>
  <c r="AN336" i="9"/>
  <c r="AE337" i="9"/>
  <c r="AL337" i="9"/>
  <c r="AM337" i="9"/>
  <c r="AN337" i="9"/>
  <c r="Q338" i="9"/>
  <c r="AE338" i="9" s="1"/>
  <c r="AL338" i="9" s="1"/>
  <c r="AM338" i="9"/>
  <c r="AN338" i="9"/>
  <c r="AE339" i="9"/>
  <c r="AL339" i="9" s="1"/>
  <c r="AM339" i="9"/>
  <c r="AN339" i="9"/>
  <c r="AE340" i="9"/>
  <c r="AL340" i="9" s="1"/>
  <c r="AM340" i="9"/>
  <c r="AN340" i="9"/>
  <c r="AE341" i="9"/>
  <c r="AK341" i="9"/>
  <c r="AM341" i="9"/>
  <c r="AN341" i="9"/>
  <c r="AE342" i="9"/>
  <c r="AL342" i="9" s="1"/>
  <c r="AM342" i="9"/>
  <c r="AN342" i="9"/>
  <c r="AE343" i="9"/>
  <c r="AL343" i="9" s="1"/>
  <c r="AM343" i="9"/>
  <c r="AN343" i="9"/>
  <c r="AE344" i="9"/>
  <c r="AL344" i="9" s="1"/>
  <c r="AM344" i="9"/>
  <c r="AO344" i="9" s="1"/>
  <c r="AN344" i="9"/>
  <c r="AE345" i="9"/>
  <c r="AL345" i="9"/>
  <c r="AM345" i="9"/>
  <c r="AN345" i="9"/>
  <c r="AE346" i="9"/>
  <c r="AL346" i="9"/>
  <c r="AM346" i="9"/>
  <c r="AO346" i="9" s="1"/>
  <c r="AN346" i="9"/>
  <c r="AE347" i="9"/>
  <c r="AL347" i="9"/>
  <c r="AM347" i="9"/>
  <c r="AO347" i="9" s="1"/>
  <c r="AN347" i="9"/>
  <c r="AE348" i="9"/>
  <c r="AL348" i="9" s="1"/>
  <c r="AM348" i="9"/>
  <c r="AN348" i="9"/>
  <c r="AE349" i="9"/>
  <c r="AL349" i="9"/>
  <c r="AM349" i="9"/>
  <c r="AN349" i="9"/>
  <c r="AE350" i="9"/>
  <c r="AG350" i="9"/>
  <c r="AI350" i="9"/>
  <c r="AM350" i="9"/>
  <c r="AN350" i="9"/>
  <c r="AE351" i="9"/>
  <c r="AL351" i="9"/>
  <c r="AM351" i="9"/>
  <c r="AO351" i="9" s="1"/>
  <c r="AN351" i="9"/>
  <c r="AE352" i="9"/>
  <c r="AL352" i="9"/>
  <c r="AM352" i="9"/>
  <c r="AO352" i="9" s="1"/>
  <c r="AN352" i="9"/>
  <c r="AE353" i="9"/>
  <c r="AL353" i="9" s="1"/>
  <c r="AM353" i="9"/>
  <c r="AN353" i="9"/>
  <c r="AE354" i="9"/>
  <c r="AL354" i="9" s="1"/>
  <c r="AM354" i="9"/>
  <c r="AN354" i="9"/>
  <c r="AE355" i="9"/>
  <c r="AL355" i="9" s="1"/>
  <c r="AM355" i="9"/>
  <c r="AN355" i="9"/>
  <c r="AE356" i="9"/>
  <c r="AL356" i="9" s="1"/>
  <c r="AM356" i="9"/>
  <c r="AN356" i="9"/>
  <c r="AE357" i="9"/>
  <c r="AL357" i="9" s="1"/>
  <c r="AM357" i="9"/>
  <c r="AN357" i="9"/>
  <c r="AE358" i="9"/>
  <c r="AL358" i="9" s="1"/>
  <c r="AM358" i="9"/>
  <c r="AN358" i="9"/>
  <c r="Q359" i="9"/>
  <c r="AE359" i="9" s="1"/>
  <c r="AL359" i="9" s="1"/>
  <c r="AM359" i="9"/>
  <c r="AN359" i="9"/>
  <c r="AE360" i="9"/>
  <c r="AL360" i="9" s="1"/>
  <c r="AM360" i="9"/>
  <c r="AN360" i="9"/>
  <c r="AE361" i="9"/>
  <c r="AL361" i="9" s="1"/>
  <c r="AM361" i="9"/>
  <c r="AN361" i="9"/>
  <c r="AE365" i="9"/>
  <c r="AL365" i="9" s="1"/>
  <c r="AM365" i="9"/>
  <c r="AN365" i="9"/>
  <c r="AE366" i="9"/>
  <c r="AL366" i="9" s="1"/>
  <c r="AM366" i="9"/>
  <c r="AN366" i="9"/>
  <c r="AE367" i="9"/>
  <c r="AL367" i="9" s="1"/>
  <c r="AM367" i="9"/>
  <c r="AN367" i="9"/>
  <c r="AE368" i="9"/>
  <c r="AL368" i="9" s="1"/>
  <c r="AM368" i="9"/>
  <c r="AN368" i="9"/>
  <c r="AE369" i="9"/>
  <c r="AL369" i="9"/>
  <c r="AM369" i="9"/>
  <c r="AN369" i="9"/>
  <c r="AE370" i="9"/>
  <c r="AL370" i="9"/>
  <c r="AM370" i="9"/>
  <c r="AN370" i="9"/>
  <c r="AE371" i="9"/>
  <c r="AL371" i="9"/>
  <c r="AM371" i="9"/>
  <c r="AN371" i="9"/>
  <c r="AE372" i="9"/>
  <c r="AL372" i="9" s="1"/>
  <c r="AM372" i="9"/>
  <c r="AN372" i="9"/>
  <c r="AE373" i="9"/>
  <c r="AL373" i="9" s="1"/>
  <c r="AM373" i="9"/>
  <c r="AN373" i="9"/>
  <c r="AE374" i="9"/>
  <c r="AL374" i="9" s="1"/>
  <c r="AM374" i="9"/>
  <c r="AN374" i="9"/>
  <c r="AE375" i="9"/>
  <c r="AL375" i="9" s="1"/>
  <c r="AM375" i="9"/>
  <c r="AN375" i="9"/>
  <c r="AE376" i="9"/>
  <c r="AL376" i="9" s="1"/>
  <c r="AM376" i="9"/>
  <c r="AN376" i="9"/>
  <c r="AE377" i="9"/>
  <c r="AL377" i="9" s="1"/>
  <c r="AM377" i="9"/>
  <c r="AN377" i="9"/>
  <c r="AE378" i="9"/>
  <c r="AL378" i="9" s="1"/>
  <c r="AM378" i="9"/>
  <c r="AN378" i="9"/>
  <c r="AE379" i="9"/>
  <c r="AL379" i="9" s="1"/>
  <c r="AM379" i="9"/>
  <c r="AN379" i="9"/>
  <c r="Q380" i="9"/>
  <c r="AE380" i="9" s="1"/>
  <c r="AM380" i="9"/>
  <c r="AN380" i="9"/>
  <c r="AE381" i="9"/>
  <c r="AL381" i="9" s="1"/>
  <c r="AM381" i="9"/>
  <c r="AN381" i="9"/>
  <c r="AE382" i="9"/>
  <c r="AL382" i="9" s="1"/>
  <c r="AM382" i="9"/>
  <c r="AN382" i="9"/>
  <c r="AE383" i="9"/>
  <c r="AL383" i="9" s="1"/>
  <c r="AM383" i="9"/>
  <c r="AN383" i="9"/>
  <c r="AE384" i="9"/>
  <c r="AL384" i="9" s="1"/>
  <c r="AM384" i="9"/>
  <c r="AN384" i="9"/>
  <c r="AE385" i="9"/>
  <c r="AL385" i="9" s="1"/>
  <c r="AM385" i="9"/>
  <c r="AN385" i="9"/>
  <c r="AE386" i="9"/>
  <c r="AL386" i="9" s="1"/>
  <c r="AM386" i="9"/>
  <c r="AN386" i="9"/>
  <c r="AE387" i="9"/>
  <c r="AL387" i="9"/>
  <c r="AM387" i="9"/>
  <c r="AN387" i="9"/>
  <c r="AE388" i="9"/>
  <c r="AL388" i="9"/>
  <c r="AM388" i="9"/>
  <c r="AN388" i="9"/>
  <c r="AE389" i="9"/>
  <c r="AL389" i="9" s="1"/>
  <c r="AM389" i="9"/>
  <c r="AN389" i="9"/>
  <c r="Q390" i="9"/>
  <c r="AE390" i="9" s="1"/>
  <c r="AL390" i="9" s="1"/>
  <c r="AM390" i="9"/>
  <c r="AN390" i="9"/>
  <c r="AE391" i="9"/>
  <c r="AL391" i="9" s="1"/>
  <c r="AM391" i="9"/>
  <c r="AN391" i="9"/>
  <c r="AE392" i="9"/>
  <c r="AL392" i="9" s="1"/>
  <c r="AM392" i="9"/>
  <c r="AN392" i="9"/>
  <c r="AE393" i="9"/>
  <c r="AL393" i="9" s="1"/>
  <c r="AM393" i="9"/>
  <c r="AO393" i="9" s="1"/>
  <c r="AN393" i="9"/>
  <c r="AE394" i="9"/>
  <c r="AL394" i="9"/>
  <c r="AM394" i="9"/>
  <c r="AN394" i="9"/>
  <c r="S395" i="9"/>
  <c r="AE395" i="9"/>
  <c r="AL395" i="9" s="1"/>
  <c r="AM395" i="9"/>
  <c r="AO395" i="9" s="1"/>
  <c r="AN395" i="9"/>
  <c r="AE396" i="9"/>
  <c r="AL396" i="9" s="1"/>
  <c r="AM396" i="9"/>
  <c r="AN396" i="9"/>
  <c r="AE397" i="9"/>
  <c r="AL397" i="9"/>
  <c r="AM397" i="9"/>
  <c r="AN397" i="9"/>
  <c r="AE398" i="9"/>
  <c r="AL398" i="9"/>
  <c r="AM398" i="9"/>
  <c r="AN398" i="9"/>
  <c r="AE399" i="9"/>
  <c r="AL399" i="9"/>
  <c r="AM399" i="9"/>
  <c r="AN399" i="9"/>
  <c r="AE400" i="9"/>
  <c r="AL400" i="9" s="1"/>
  <c r="AM400" i="9"/>
  <c r="AN400" i="9"/>
  <c r="AE401" i="9"/>
  <c r="AL401" i="9" s="1"/>
  <c r="AM401" i="9"/>
  <c r="AN401" i="9"/>
  <c r="AE402" i="9"/>
  <c r="AL402" i="9" s="1"/>
  <c r="AM402" i="9"/>
  <c r="AN402" i="9"/>
  <c r="AE403" i="9"/>
  <c r="AL403" i="9" s="1"/>
  <c r="AM403" i="9"/>
  <c r="AN403" i="9"/>
  <c r="AE404" i="9"/>
  <c r="AL404" i="9" s="1"/>
  <c r="AM404" i="9"/>
  <c r="AN404" i="9"/>
  <c r="AE405" i="9"/>
  <c r="AL405" i="9"/>
  <c r="AM405" i="9"/>
  <c r="AN405" i="9"/>
  <c r="AE406" i="9"/>
  <c r="AL406" i="9"/>
  <c r="AM406" i="9"/>
  <c r="AN406" i="9"/>
  <c r="AE407" i="9"/>
  <c r="AL407" i="9"/>
  <c r="AM407" i="9"/>
  <c r="AO407" i="9" s="1"/>
  <c r="AN407" i="9"/>
  <c r="AE408" i="9"/>
  <c r="AL408" i="9" s="1"/>
  <c r="AM408" i="9"/>
  <c r="AN408" i="9"/>
  <c r="AE409" i="9"/>
  <c r="AL409" i="9"/>
  <c r="AM409" i="9"/>
  <c r="AN409" i="9"/>
  <c r="AE410" i="9"/>
  <c r="AL410" i="9"/>
  <c r="AM410" i="9"/>
  <c r="AN410" i="9"/>
  <c r="AE411" i="9"/>
  <c r="AL411" i="9" s="1"/>
  <c r="AM411" i="9"/>
  <c r="AN411" i="9"/>
  <c r="AE412" i="9"/>
  <c r="AL412" i="9" s="1"/>
  <c r="AM412" i="9"/>
  <c r="AN412" i="9"/>
  <c r="AE413" i="9"/>
  <c r="AL413" i="9" s="1"/>
  <c r="AM413" i="9"/>
  <c r="AN413" i="9"/>
  <c r="AE414" i="9"/>
  <c r="AL414" i="9" s="1"/>
  <c r="AM414" i="9"/>
  <c r="AN414" i="9"/>
  <c r="AE415" i="9"/>
  <c r="AL415" i="9" s="1"/>
  <c r="AM415" i="9"/>
  <c r="AN415" i="9"/>
  <c r="AE416" i="9"/>
  <c r="AL416" i="9" s="1"/>
  <c r="AM416" i="9"/>
  <c r="AN416" i="9"/>
  <c r="AE417" i="9"/>
  <c r="AL417" i="9"/>
  <c r="AM417" i="9"/>
  <c r="AN417" i="9"/>
  <c r="AE418" i="9"/>
  <c r="AL418" i="9"/>
  <c r="AM418" i="9"/>
  <c r="AN418" i="9"/>
  <c r="AE419" i="9"/>
  <c r="AL419" i="9" s="1"/>
  <c r="AM419" i="9"/>
  <c r="AN419" i="9"/>
  <c r="AE420" i="9"/>
  <c r="AL420" i="9" s="1"/>
  <c r="AM420" i="9"/>
  <c r="AN420" i="9"/>
  <c r="AE421" i="9"/>
  <c r="AL421" i="9" s="1"/>
  <c r="AM421" i="9"/>
  <c r="AN421" i="9"/>
  <c r="AE422" i="9"/>
  <c r="AL422" i="9" s="1"/>
  <c r="AM422" i="9"/>
  <c r="AN422" i="9"/>
  <c r="AE423" i="9"/>
  <c r="AL423" i="9" s="1"/>
  <c r="AM423" i="9"/>
  <c r="AO423" i="9" s="1"/>
  <c r="AN423" i="9"/>
  <c r="AE424" i="9"/>
  <c r="AL424" i="9" s="1"/>
  <c r="AM424" i="9"/>
  <c r="AN424" i="9"/>
  <c r="AE425" i="9"/>
  <c r="AL425" i="9" s="1"/>
  <c r="AM425" i="9"/>
  <c r="AN425" i="9"/>
  <c r="AE426" i="9"/>
  <c r="AL426" i="9" s="1"/>
  <c r="AM426" i="9"/>
  <c r="AN426" i="9"/>
  <c r="AE427" i="9"/>
  <c r="AL427" i="9" s="1"/>
  <c r="AM427" i="9"/>
  <c r="AN427" i="9"/>
  <c r="AE428" i="9"/>
  <c r="AL428" i="9" s="1"/>
  <c r="AM428" i="9"/>
  <c r="AO428" i="9" s="1"/>
  <c r="AN428" i="9"/>
  <c r="AE429" i="9"/>
  <c r="AL429" i="9"/>
  <c r="AM429" i="9"/>
  <c r="AN429" i="9"/>
  <c r="AE430" i="9"/>
  <c r="AL430" i="9"/>
  <c r="AM430" i="9"/>
  <c r="AO430" i="9" s="1"/>
  <c r="AN430" i="9"/>
  <c r="AE431" i="9"/>
  <c r="AL431" i="9"/>
  <c r="AM431" i="9"/>
  <c r="AO431" i="9" s="1"/>
  <c r="AN431" i="9"/>
  <c r="AE435" i="9"/>
  <c r="AL435" i="9" s="1"/>
  <c r="AM435" i="9"/>
  <c r="AN435" i="9"/>
  <c r="AE436" i="9"/>
  <c r="AL436" i="9"/>
  <c r="AM436" i="9"/>
  <c r="AN436" i="9"/>
  <c r="AE437" i="9"/>
  <c r="AI437" i="9"/>
  <c r="AL437" i="9"/>
  <c r="AM437" i="9"/>
  <c r="AO437" i="9" s="1"/>
  <c r="AN437" i="9"/>
  <c r="AE438" i="9"/>
  <c r="AL438" i="9" s="1"/>
  <c r="AM438" i="9"/>
  <c r="AN438" i="9"/>
  <c r="AE439" i="9"/>
  <c r="AL439" i="9"/>
  <c r="AM439" i="9"/>
  <c r="AN439" i="9"/>
  <c r="AE440" i="9"/>
  <c r="AL440" i="9"/>
  <c r="AM440" i="9"/>
  <c r="AN440" i="9"/>
  <c r="AE441" i="9"/>
  <c r="AL441" i="9" s="1"/>
  <c r="AM441" i="9"/>
  <c r="AN441" i="9"/>
  <c r="AE442" i="9"/>
  <c r="AL442" i="9" s="1"/>
  <c r="AM442" i="9"/>
  <c r="AN442" i="9"/>
  <c r="AE443" i="9"/>
  <c r="AL443" i="9"/>
  <c r="AM443" i="9"/>
  <c r="AN443" i="9"/>
  <c r="AE444" i="9"/>
  <c r="AL444" i="9"/>
  <c r="AM444" i="9"/>
  <c r="AN444" i="9"/>
  <c r="AE445" i="9"/>
  <c r="AL445" i="9"/>
  <c r="AM445" i="9"/>
  <c r="AN445" i="9"/>
  <c r="AE446" i="9"/>
  <c r="AL446" i="9" s="1"/>
  <c r="AM446" i="9"/>
  <c r="AN446" i="9"/>
  <c r="AE447" i="9"/>
  <c r="AL447" i="9"/>
  <c r="AM447" i="9"/>
  <c r="AO447" i="9" s="1"/>
  <c r="AN447" i="9"/>
  <c r="AE448" i="9"/>
  <c r="AL448" i="9"/>
  <c r="AM448" i="9"/>
  <c r="AO448" i="9" s="1"/>
  <c r="AN448" i="9"/>
  <c r="AE449" i="9"/>
  <c r="AL449" i="9" s="1"/>
  <c r="AM449" i="9"/>
  <c r="AN449" i="9"/>
  <c r="AE450" i="9"/>
  <c r="AL450" i="9" s="1"/>
  <c r="AM450" i="9"/>
  <c r="AN450" i="9"/>
  <c r="AE451" i="9"/>
  <c r="AL451" i="9" s="1"/>
  <c r="AM451" i="9"/>
  <c r="AN451" i="9"/>
  <c r="AE452" i="9"/>
  <c r="AL452" i="9" s="1"/>
  <c r="AM452" i="9"/>
  <c r="AN452" i="9"/>
  <c r="AE453" i="9"/>
  <c r="AL453" i="9"/>
  <c r="AM453" i="9"/>
  <c r="AN453" i="9"/>
  <c r="AE454" i="9"/>
  <c r="AL454" i="9" s="1"/>
  <c r="AM454" i="9"/>
  <c r="AN454" i="9"/>
  <c r="AE455" i="9"/>
  <c r="AL455" i="9" s="1"/>
  <c r="AM455" i="9"/>
  <c r="AN455" i="9"/>
  <c r="AE456" i="9"/>
  <c r="AL456" i="9" s="1"/>
  <c r="AM456" i="9"/>
  <c r="AN456" i="9"/>
  <c r="AE457" i="9"/>
  <c r="AL457" i="9" s="1"/>
  <c r="AM457" i="9"/>
  <c r="AN457" i="9"/>
  <c r="AE458" i="9"/>
  <c r="AL458" i="9" s="1"/>
  <c r="AM458" i="9"/>
  <c r="AN458" i="9"/>
  <c r="AE459" i="9"/>
  <c r="AL459" i="9"/>
  <c r="AM459" i="9"/>
  <c r="AN459" i="9"/>
  <c r="AE460" i="9"/>
  <c r="AL460" i="9"/>
  <c r="AM460" i="9"/>
  <c r="AO460" i="9" s="1"/>
  <c r="AN460" i="9"/>
  <c r="AE461" i="9"/>
  <c r="AL461" i="9"/>
  <c r="AM461" i="9"/>
  <c r="AO461" i="9" s="1"/>
  <c r="AN461" i="9"/>
  <c r="AE462" i="9"/>
  <c r="AL462" i="9" s="1"/>
  <c r="AM462" i="9"/>
  <c r="AN462" i="9"/>
  <c r="AE463" i="9"/>
  <c r="AL463" i="9"/>
  <c r="AM463" i="9"/>
  <c r="AN463" i="9"/>
  <c r="AE464" i="9"/>
  <c r="AL464" i="9"/>
  <c r="AM464" i="9"/>
  <c r="AN464" i="9"/>
  <c r="AE465" i="9"/>
  <c r="AL465" i="9" s="1"/>
  <c r="AM465" i="9"/>
  <c r="AN465" i="9"/>
  <c r="AE466" i="9"/>
  <c r="AL466" i="9" s="1"/>
  <c r="AM466" i="9"/>
  <c r="AN466" i="9"/>
  <c r="AE467" i="9"/>
  <c r="AL467" i="9"/>
  <c r="AM467" i="9"/>
  <c r="AN467" i="9"/>
  <c r="AE468" i="9"/>
  <c r="AL468" i="9"/>
  <c r="AM468" i="9"/>
  <c r="AN468" i="9"/>
  <c r="AE469" i="9"/>
  <c r="AL469" i="9"/>
  <c r="AM469" i="9"/>
  <c r="AN469" i="9"/>
  <c r="AE470" i="9"/>
  <c r="AL470" i="9" s="1"/>
  <c r="AM470" i="9"/>
  <c r="AN470" i="9"/>
  <c r="AE471" i="9"/>
  <c r="AL471" i="9"/>
  <c r="AM471" i="9"/>
  <c r="AO471" i="9" s="1"/>
  <c r="AN471" i="9"/>
  <c r="AE472" i="9"/>
  <c r="AL472" i="9"/>
  <c r="AM472" i="9"/>
  <c r="AO472" i="9" s="1"/>
  <c r="AN472" i="9"/>
  <c r="AE473" i="9"/>
  <c r="AL473" i="9" s="1"/>
  <c r="AM473" i="9"/>
  <c r="AN473" i="9"/>
  <c r="AE474" i="9"/>
  <c r="AL474" i="9" s="1"/>
  <c r="AM474" i="9"/>
  <c r="AN474" i="9"/>
  <c r="AE475" i="9"/>
  <c r="AL475" i="9" s="1"/>
  <c r="AM475" i="9"/>
  <c r="AN475" i="9"/>
  <c r="AE476" i="9"/>
  <c r="AL476" i="9" s="1"/>
  <c r="AM476" i="9"/>
  <c r="AN476" i="9"/>
  <c r="AE477" i="9"/>
  <c r="AL477" i="9" s="1"/>
  <c r="AM477" i="9"/>
  <c r="AN477" i="9"/>
  <c r="AE478" i="9"/>
  <c r="AL478" i="9" s="1"/>
  <c r="AM478" i="9"/>
  <c r="AN478" i="9"/>
  <c r="AE479" i="9"/>
  <c r="AL479" i="9"/>
  <c r="AM479" i="9"/>
  <c r="AN479" i="9"/>
  <c r="AE480" i="9"/>
  <c r="AL480" i="9"/>
  <c r="AM480" i="9"/>
  <c r="AN480" i="9"/>
  <c r="AE481" i="9"/>
  <c r="AL481" i="9" s="1"/>
  <c r="AM481" i="9"/>
  <c r="AN481" i="9"/>
  <c r="AE482" i="9"/>
  <c r="AL482" i="9" s="1"/>
  <c r="AM482" i="9"/>
  <c r="AN482" i="9"/>
  <c r="AE483" i="9"/>
  <c r="AL483" i="9"/>
  <c r="AM483" i="9"/>
  <c r="AN483" i="9"/>
  <c r="AE484" i="9"/>
  <c r="AG484" i="9"/>
  <c r="AI484" i="9" s="1"/>
  <c r="AM484" i="9"/>
  <c r="AN484" i="9"/>
  <c r="AE485" i="9"/>
  <c r="AL485" i="9" s="1"/>
  <c r="AM485" i="9"/>
  <c r="AN485" i="9"/>
  <c r="AE486" i="9"/>
  <c r="AL486" i="9" s="1"/>
  <c r="AM486" i="9"/>
  <c r="AN486" i="9"/>
  <c r="AE487" i="9"/>
  <c r="AL487" i="9" s="1"/>
  <c r="AM487" i="9"/>
  <c r="AN487" i="9"/>
  <c r="AE488" i="9"/>
  <c r="AL488" i="9" s="1"/>
  <c r="AM488" i="9"/>
  <c r="AN488" i="9"/>
  <c r="AE489" i="9"/>
  <c r="AL489" i="9"/>
  <c r="AM489" i="9"/>
  <c r="AN489" i="9"/>
  <c r="AE490" i="9"/>
  <c r="AL490" i="9"/>
  <c r="AM490" i="9"/>
  <c r="AN490" i="9"/>
  <c r="AE491" i="9"/>
  <c r="AL491" i="9" s="1"/>
  <c r="AM491" i="9"/>
  <c r="AN491" i="9"/>
  <c r="AE492" i="9"/>
  <c r="AL492" i="9" s="1"/>
  <c r="AM492" i="9"/>
  <c r="AN492" i="9"/>
  <c r="AE493" i="9"/>
  <c r="AL493" i="9"/>
  <c r="AM493" i="9"/>
  <c r="AN493" i="9"/>
  <c r="AE494" i="9"/>
  <c r="AL494" i="9"/>
  <c r="AM494" i="9"/>
  <c r="AN494" i="9"/>
  <c r="AE495" i="9"/>
  <c r="AL495" i="9"/>
  <c r="AM495" i="9"/>
  <c r="AN495" i="9"/>
  <c r="AE496" i="9"/>
  <c r="AL496" i="9" s="1"/>
  <c r="AM496" i="9"/>
  <c r="AN496" i="9"/>
  <c r="AE497" i="9"/>
  <c r="AL497" i="9"/>
  <c r="AM497" i="9"/>
  <c r="AO497" i="9" s="1"/>
  <c r="AN497" i="9"/>
  <c r="AE498" i="9"/>
  <c r="AL498" i="9"/>
  <c r="AM498" i="9"/>
  <c r="AO498" i="9" s="1"/>
  <c r="AN498" i="9"/>
  <c r="AE499" i="9"/>
  <c r="AL499" i="9" s="1"/>
  <c r="AM499" i="9"/>
  <c r="AN499" i="9"/>
  <c r="AE500" i="9"/>
  <c r="AL500" i="9" s="1"/>
  <c r="AM500" i="9"/>
  <c r="AN500" i="9"/>
  <c r="AE504" i="9"/>
  <c r="AL504" i="9" s="1"/>
  <c r="AM504" i="9"/>
  <c r="AN504" i="9"/>
  <c r="AE505" i="9"/>
  <c r="AL505" i="9" s="1"/>
  <c r="AM505" i="9"/>
  <c r="AN505" i="9"/>
  <c r="AE506" i="9"/>
  <c r="AL506" i="9" s="1"/>
  <c r="AM506" i="9"/>
  <c r="AN506" i="9"/>
  <c r="AE507" i="9"/>
  <c r="AL507" i="9" s="1"/>
  <c r="AM507" i="9"/>
  <c r="AN507" i="9"/>
  <c r="AE508" i="9"/>
  <c r="AL508" i="9" s="1"/>
  <c r="AM508" i="9"/>
  <c r="AN508" i="9"/>
  <c r="AE509" i="9"/>
  <c r="AL509" i="9" s="1"/>
  <c r="AM509" i="9"/>
  <c r="AN509" i="9"/>
  <c r="AE510" i="9"/>
  <c r="AL510" i="9" s="1"/>
  <c r="AM510" i="9"/>
  <c r="AO510" i="9" s="1"/>
  <c r="AN510" i="9"/>
  <c r="AE511" i="9"/>
  <c r="AL511" i="9" s="1"/>
  <c r="AM511" i="9"/>
  <c r="AO511" i="9" s="1"/>
  <c r="AN511" i="9"/>
  <c r="AE512" i="9"/>
  <c r="AL512" i="9" s="1"/>
  <c r="AM512" i="9"/>
  <c r="AN512" i="9"/>
  <c r="AE513" i="9"/>
  <c r="AL513" i="9" s="1"/>
  <c r="AM513" i="9"/>
  <c r="AN513" i="9"/>
  <c r="AE514" i="9"/>
  <c r="AL514" i="9" s="1"/>
  <c r="AM514" i="9"/>
  <c r="AN514" i="9"/>
  <c r="AE515" i="9"/>
  <c r="AL515" i="9" s="1"/>
  <c r="AM515" i="9"/>
  <c r="AN515" i="9"/>
  <c r="AE516" i="9"/>
  <c r="AL516" i="9"/>
  <c r="AM516" i="9"/>
  <c r="AN516" i="9"/>
  <c r="AE517" i="9"/>
  <c r="AL517" i="9"/>
  <c r="AM517" i="9"/>
  <c r="AN517" i="9"/>
  <c r="AE518" i="9"/>
  <c r="AL518" i="9" s="1"/>
  <c r="AM518" i="9"/>
  <c r="AN518" i="9"/>
  <c r="AE519" i="9"/>
  <c r="AL519" i="9" s="1"/>
  <c r="AM519" i="9"/>
  <c r="AN519" i="9"/>
  <c r="AE520" i="9"/>
  <c r="AL520" i="9"/>
  <c r="AM520" i="9"/>
  <c r="AN520" i="9"/>
  <c r="AE521" i="9"/>
  <c r="AL521" i="9"/>
  <c r="AM521" i="9"/>
  <c r="AN521" i="9"/>
  <c r="AE522" i="9"/>
  <c r="AL522" i="9"/>
  <c r="AM522" i="9"/>
  <c r="AN522" i="9"/>
  <c r="AE523" i="9"/>
  <c r="AL523" i="9" s="1"/>
  <c r="AM523" i="9"/>
  <c r="AN523" i="9"/>
  <c r="AE524" i="9"/>
  <c r="AL524" i="9"/>
  <c r="AM524" i="9"/>
  <c r="AO524" i="9" s="1"/>
  <c r="AN524" i="9"/>
  <c r="AE525" i="9"/>
  <c r="AL525" i="9"/>
  <c r="AM525" i="9"/>
  <c r="AO525" i="9" s="1"/>
  <c r="AN525" i="9"/>
  <c r="AE526" i="9"/>
  <c r="AL526" i="9" s="1"/>
  <c r="AM526" i="9"/>
  <c r="AN526" i="9"/>
  <c r="AE527" i="9"/>
  <c r="AL527" i="9" s="1"/>
  <c r="AM527" i="9"/>
  <c r="AN527" i="9"/>
  <c r="AE528" i="9"/>
  <c r="AL528" i="9" s="1"/>
  <c r="AM528" i="9"/>
  <c r="AN528" i="9"/>
  <c r="AE529" i="9"/>
  <c r="AL529" i="9" s="1"/>
  <c r="AM529" i="9"/>
  <c r="AN529" i="9"/>
  <c r="AE530" i="9"/>
  <c r="AL530" i="9" s="1"/>
  <c r="AM530" i="9"/>
  <c r="AN530" i="9"/>
  <c r="AE531" i="9"/>
  <c r="AL531" i="9" s="1"/>
  <c r="AM531" i="9"/>
  <c r="AN531" i="9"/>
  <c r="AE532" i="9"/>
  <c r="AL532" i="9"/>
  <c r="AM532" i="9"/>
  <c r="AN532" i="9"/>
  <c r="AE533" i="9"/>
  <c r="AL533" i="9"/>
  <c r="AM533" i="9"/>
  <c r="AN533" i="9"/>
  <c r="AE534" i="9"/>
  <c r="AL534" i="9" s="1"/>
  <c r="AM534" i="9"/>
  <c r="AO534" i="9" s="1"/>
  <c r="AN534" i="9"/>
  <c r="AE535" i="9"/>
  <c r="AG535" i="9" s="1"/>
  <c r="AI535" i="9" s="1"/>
  <c r="AL535" i="9" s="1"/>
  <c r="AM535" i="9"/>
  <c r="AN535" i="9"/>
  <c r="AE536" i="9"/>
  <c r="AL536" i="9"/>
  <c r="AM536" i="9"/>
  <c r="AN536" i="9"/>
  <c r="AE537" i="9"/>
  <c r="AL537" i="9" s="1"/>
  <c r="AM537" i="9"/>
  <c r="AN537" i="9"/>
  <c r="AE538" i="9"/>
  <c r="AL538" i="9" s="1"/>
  <c r="AM538" i="9"/>
  <c r="AN538" i="9"/>
  <c r="AE539" i="9"/>
  <c r="AL539" i="9" s="1"/>
  <c r="AM539" i="9"/>
  <c r="AN539" i="9"/>
  <c r="AE540" i="9"/>
  <c r="AL540" i="9" s="1"/>
  <c r="AM540" i="9"/>
  <c r="AO540" i="9" s="1"/>
  <c r="AN540" i="9"/>
  <c r="AE541" i="9"/>
  <c r="AL541" i="9" s="1"/>
  <c r="AM541" i="9"/>
  <c r="AO541" i="9" s="1"/>
  <c r="AN541" i="9"/>
  <c r="AE542" i="9"/>
  <c r="AL542" i="9" s="1"/>
  <c r="AM542" i="9"/>
  <c r="AN542" i="9"/>
  <c r="AE543" i="9"/>
  <c r="AL543" i="9" s="1"/>
  <c r="AM543" i="9"/>
  <c r="AN543" i="9"/>
  <c r="AE544" i="9"/>
  <c r="AL544" i="9" s="1"/>
  <c r="AM544" i="9"/>
  <c r="AN544" i="9"/>
  <c r="AE545" i="9"/>
  <c r="AL545" i="9" s="1"/>
  <c r="AM545" i="9"/>
  <c r="AN545" i="9"/>
  <c r="AE546" i="9"/>
  <c r="AL546" i="9" s="1"/>
  <c r="AM546" i="9"/>
  <c r="AN546" i="9"/>
  <c r="AE547" i="9"/>
  <c r="AL547" i="9" s="1"/>
  <c r="AM547" i="9"/>
  <c r="AN547" i="9"/>
  <c r="AE548" i="9"/>
  <c r="AL548" i="9"/>
  <c r="AM548" i="9"/>
  <c r="AN548" i="9"/>
  <c r="AE549" i="9"/>
  <c r="AL549" i="9" s="1"/>
  <c r="AM549" i="9"/>
  <c r="AN549" i="9"/>
  <c r="AE550" i="9"/>
  <c r="AL550" i="9" s="1"/>
  <c r="AM550" i="9"/>
  <c r="AN550" i="9"/>
  <c r="AE551" i="9"/>
  <c r="AL551" i="9" s="1"/>
  <c r="AM551" i="9"/>
  <c r="AN551" i="9"/>
  <c r="AE552" i="9"/>
  <c r="AL552" i="9"/>
  <c r="AM552" i="9"/>
  <c r="AN552" i="9"/>
  <c r="AE553" i="9"/>
  <c r="AL553" i="9" s="1"/>
  <c r="AM553" i="9"/>
  <c r="AN553" i="9"/>
  <c r="AE554" i="9"/>
  <c r="AL554" i="9"/>
  <c r="AM554" i="9"/>
  <c r="AO554" i="9" s="1"/>
  <c r="AN554" i="9"/>
  <c r="AE555" i="9"/>
  <c r="AL555" i="9" s="1"/>
  <c r="AM555" i="9"/>
  <c r="AN555" i="9"/>
  <c r="AE556" i="9"/>
  <c r="AL556" i="9" s="1"/>
  <c r="AM556" i="9"/>
  <c r="AN556" i="9"/>
  <c r="AE557" i="9"/>
  <c r="AL557" i="9" s="1"/>
  <c r="AM557" i="9"/>
  <c r="AN557" i="9"/>
  <c r="AE558" i="9"/>
  <c r="AL558" i="9"/>
  <c r="AM558" i="9"/>
  <c r="AN558" i="9"/>
  <c r="AE559" i="9"/>
  <c r="AL559" i="9" s="1"/>
  <c r="AM559" i="9"/>
  <c r="AO559" i="9" s="1"/>
  <c r="AN559" i="9"/>
  <c r="AE560" i="9"/>
  <c r="AL560" i="9"/>
  <c r="AM560" i="9"/>
  <c r="AN560" i="9"/>
  <c r="AE561" i="9"/>
  <c r="AL561" i="9" s="1"/>
  <c r="AM561" i="9"/>
  <c r="AN561" i="9"/>
  <c r="AE562" i="9"/>
  <c r="AL562" i="9"/>
  <c r="AM562" i="9"/>
  <c r="AN562" i="9"/>
  <c r="AE563" i="9"/>
  <c r="AL563" i="9" s="1"/>
  <c r="AM563" i="9"/>
  <c r="AN563" i="9"/>
  <c r="AE564" i="9"/>
  <c r="AL564" i="9" s="1"/>
  <c r="AM564" i="9"/>
  <c r="AN564" i="9"/>
  <c r="AE565" i="9"/>
  <c r="AL565" i="9" s="1"/>
  <c r="AM565" i="9"/>
  <c r="AN565" i="9"/>
  <c r="AE566" i="9"/>
  <c r="AL566" i="9" s="1"/>
  <c r="AM566" i="9"/>
  <c r="AN566" i="9"/>
  <c r="AE567" i="9"/>
  <c r="AI567" i="9"/>
  <c r="AM567" i="9"/>
  <c r="AN567" i="9"/>
  <c r="AE568" i="9"/>
  <c r="AL568" i="9" s="1"/>
  <c r="AM568" i="9"/>
  <c r="AN568" i="9"/>
  <c r="AE569" i="9"/>
  <c r="AL569" i="9" s="1"/>
  <c r="AM569" i="9"/>
  <c r="AN569" i="9"/>
  <c r="AE570" i="9"/>
  <c r="AL570" i="9" s="1"/>
  <c r="AM570" i="9"/>
  <c r="AN570" i="9"/>
  <c r="AE571" i="9"/>
  <c r="AL571" i="9"/>
  <c r="AM571" i="9"/>
  <c r="AN571" i="9"/>
  <c r="AE575" i="9"/>
  <c r="AL575" i="9" s="1"/>
  <c r="AM575" i="9"/>
  <c r="AN575" i="9"/>
  <c r="AE576" i="9"/>
  <c r="AL576" i="9"/>
  <c r="AM576" i="9"/>
  <c r="AN576" i="9"/>
  <c r="AE577" i="9"/>
  <c r="AL577" i="9" s="1"/>
  <c r="AM577" i="9"/>
  <c r="AN577" i="9"/>
  <c r="AE578" i="9"/>
  <c r="AL578" i="9" s="1"/>
  <c r="AM578" i="9"/>
  <c r="AN578" i="9"/>
  <c r="AE579" i="9"/>
  <c r="AL579" i="9" s="1"/>
  <c r="AM579" i="9"/>
  <c r="AN579" i="9"/>
  <c r="AE580" i="9"/>
  <c r="AL580" i="9" s="1"/>
  <c r="AM580" i="9"/>
  <c r="AO580" i="9" s="1"/>
  <c r="AN580" i="9"/>
  <c r="AE581" i="9"/>
  <c r="AL581" i="9"/>
  <c r="AM581" i="9"/>
  <c r="AO581" i="9" s="1"/>
  <c r="AN581" i="9"/>
  <c r="AE582" i="9"/>
  <c r="AL582" i="9" s="1"/>
  <c r="AM582" i="9"/>
  <c r="AN582" i="9"/>
  <c r="AE583" i="9"/>
  <c r="AL583" i="9"/>
  <c r="AM583" i="9"/>
  <c r="AN583" i="9"/>
  <c r="AE584" i="9"/>
  <c r="AM584" i="9"/>
  <c r="AN584" i="9"/>
  <c r="AE585" i="9"/>
  <c r="AL585" i="9" s="1"/>
  <c r="AM585" i="9"/>
  <c r="AN585" i="9"/>
  <c r="AE586" i="9"/>
  <c r="AL586" i="9" s="1"/>
  <c r="AM586" i="9"/>
  <c r="AN586" i="9"/>
  <c r="AE587" i="9"/>
  <c r="AL587" i="9"/>
  <c r="AM587" i="9"/>
  <c r="AN587" i="9"/>
  <c r="AE588" i="9"/>
  <c r="AL588" i="9" s="1"/>
  <c r="AM588" i="9"/>
  <c r="AN588" i="9"/>
  <c r="AE589" i="9"/>
  <c r="AG589" i="9"/>
  <c r="AI589" i="9" s="1"/>
  <c r="AL589" i="9" s="1"/>
  <c r="AM589" i="9"/>
  <c r="AN589" i="9"/>
  <c r="AE590" i="9"/>
  <c r="AM590" i="9"/>
  <c r="AN590" i="9"/>
  <c r="AE591" i="9"/>
  <c r="AL591" i="9" s="1"/>
  <c r="AM591" i="9"/>
  <c r="AN591" i="9"/>
  <c r="AE592" i="9"/>
  <c r="AL592" i="9" s="1"/>
  <c r="AM592" i="9"/>
  <c r="AO592" i="9" s="1"/>
  <c r="AN592" i="9"/>
  <c r="AE593" i="9"/>
  <c r="AL593" i="9" s="1"/>
  <c r="AM593" i="9"/>
  <c r="AN593" i="9"/>
  <c r="AE594" i="9"/>
  <c r="AL594" i="9" s="1"/>
  <c r="AM594" i="9"/>
  <c r="AO594" i="9" s="1"/>
  <c r="AN594" i="9"/>
  <c r="AE595" i="9"/>
  <c r="AL595" i="9" s="1"/>
  <c r="AM595" i="9"/>
  <c r="AN595" i="9"/>
  <c r="AE596" i="9"/>
  <c r="AL596" i="9" s="1"/>
  <c r="AM596" i="9"/>
  <c r="AO596" i="9" s="1"/>
  <c r="AN596" i="9"/>
  <c r="AE597" i="9"/>
  <c r="AL597" i="9" s="1"/>
  <c r="AM597" i="9"/>
  <c r="AN597" i="9"/>
  <c r="AE598" i="9"/>
  <c r="AL598" i="9" s="1"/>
  <c r="AM598" i="9"/>
  <c r="AO598" i="9" s="1"/>
  <c r="AN598" i="9"/>
  <c r="AE599" i="9"/>
  <c r="AL599" i="9" s="1"/>
  <c r="AM599" i="9"/>
  <c r="AN599" i="9"/>
  <c r="AE600" i="9"/>
  <c r="AL600" i="9" s="1"/>
  <c r="AM600" i="9"/>
  <c r="AO600" i="9" s="1"/>
  <c r="AN600" i="9"/>
  <c r="AE601" i="9"/>
  <c r="AL601" i="9" s="1"/>
  <c r="AM601" i="9"/>
  <c r="AN601" i="9"/>
  <c r="AE602" i="9"/>
  <c r="AL602" i="9" s="1"/>
  <c r="AM602" i="9"/>
  <c r="AO602" i="9" s="1"/>
  <c r="AN602" i="9"/>
  <c r="AE603" i="9"/>
  <c r="AL603" i="9" s="1"/>
  <c r="AM603" i="9"/>
  <c r="AN603" i="9"/>
  <c r="AE604" i="9"/>
  <c r="AL604" i="9" s="1"/>
  <c r="AM604" i="9"/>
  <c r="AO604" i="9" s="1"/>
  <c r="AN604" i="9"/>
  <c r="AE605" i="9"/>
  <c r="AL605" i="9" s="1"/>
  <c r="AM605" i="9"/>
  <c r="AN605" i="9"/>
  <c r="AE606" i="9"/>
  <c r="AL606" i="9" s="1"/>
  <c r="AM606" i="9"/>
  <c r="AO606" i="9" s="1"/>
  <c r="AN606" i="9"/>
  <c r="AE607" i="9"/>
  <c r="AL607" i="9" s="1"/>
  <c r="AM607" i="9"/>
  <c r="AN607" i="9"/>
  <c r="AE608" i="9"/>
  <c r="AL608" i="9" s="1"/>
  <c r="AM608" i="9"/>
  <c r="AO608" i="9" s="1"/>
  <c r="AN608" i="9"/>
  <c r="AE609" i="9"/>
  <c r="AL609" i="9" s="1"/>
  <c r="AM609" i="9"/>
  <c r="AN609" i="9"/>
  <c r="AE610" i="9"/>
  <c r="AL610" i="9" s="1"/>
  <c r="AM610" i="9"/>
  <c r="AN610" i="9"/>
  <c r="AE611" i="9"/>
  <c r="AL611" i="9" s="1"/>
  <c r="AM611" i="9"/>
  <c r="AN611" i="9"/>
  <c r="AE612" i="9"/>
  <c r="AL612" i="9" s="1"/>
  <c r="AM612" i="9"/>
  <c r="AN612" i="9"/>
  <c r="AE613" i="9"/>
  <c r="AL613" i="9" s="1"/>
  <c r="AM613" i="9"/>
  <c r="AN613" i="9"/>
  <c r="AE614" i="9"/>
  <c r="AL614" i="9" s="1"/>
  <c r="AM614" i="9"/>
  <c r="AN614" i="9"/>
  <c r="AE615" i="9"/>
  <c r="AL615" i="9"/>
  <c r="AM615" i="9"/>
  <c r="AN615" i="9"/>
  <c r="AE616" i="9"/>
  <c r="AL616" i="9" s="1"/>
  <c r="AM616" i="9"/>
  <c r="AO616" i="9" s="1"/>
  <c r="AN616" i="9"/>
  <c r="AE617" i="9"/>
  <c r="AL617" i="9"/>
  <c r="AM617" i="9"/>
  <c r="AN617" i="9"/>
  <c r="AE618" i="9"/>
  <c r="AL618" i="9" s="1"/>
  <c r="AM618" i="9"/>
  <c r="AN618" i="9"/>
  <c r="AE619" i="9"/>
  <c r="AL619" i="9" s="1"/>
  <c r="AM619" i="9"/>
  <c r="AN619" i="9"/>
  <c r="AE620" i="9"/>
  <c r="AL620" i="9" s="1"/>
  <c r="AM620" i="9"/>
  <c r="AN620" i="9"/>
  <c r="AE621" i="9"/>
  <c r="AL621" i="9" s="1"/>
  <c r="AM621" i="9"/>
  <c r="AO621" i="9" s="1"/>
  <c r="AN621" i="9"/>
  <c r="Q622" i="9"/>
  <c r="AE622" i="9" s="1"/>
  <c r="AI622" i="9"/>
  <c r="AM622" i="9"/>
  <c r="AN622" i="9"/>
  <c r="AE623" i="9"/>
  <c r="AI623" i="9"/>
  <c r="AM623" i="9"/>
  <c r="AN623" i="9"/>
  <c r="AE624" i="9"/>
  <c r="AL624" i="9"/>
  <c r="AM624" i="9"/>
  <c r="AN624" i="9"/>
  <c r="AE625" i="9"/>
  <c r="AL625" i="9"/>
  <c r="AM625" i="9"/>
  <c r="AN625" i="9"/>
  <c r="AE626" i="9"/>
  <c r="AL626" i="9" s="1"/>
  <c r="AM626" i="9"/>
  <c r="AN626" i="9"/>
  <c r="AE627" i="9"/>
  <c r="AL627" i="9" s="1"/>
  <c r="AM627" i="9"/>
  <c r="AN627" i="9"/>
  <c r="AE628" i="9"/>
  <c r="AL628" i="9" s="1"/>
  <c r="AM628" i="9"/>
  <c r="AN628" i="9"/>
  <c r="AE629" i="9"/>
  <c r="AL629" i="9" s="1"/>
  <c r="AM629" i="9"/>
  <c r="AN629" i="9"/>
  <c r="AE630" i="9"/>
  <c r="AL630" i="9" s="1"/>
  <c r="AM630" i="9"/>
  <c r="AN630" i="9"/>
  <c r="AE631" i="9"/>
  <c r="AL631" i="9" s="1"/>
  <c r="AM631" i="9"/>
  <c r="AN631" i="9"/>
  <c r="AE632" i="9"/>
  <c r="AL632" i="9" s="1"/>
  <c r="AM632" i="9"/>
  <c r="AN632" i="9"/>
  <c r="AE633" i="9"/>
  <c r="AL633" i="9" s="1"/>
  <c r="AM633" i="9"/>
  <c r="AO633" i="9" s="1"/>
  <c r="AN633" i="9"/>
  <c r="AE634" i="9"/>
  <c r="AL634" i="9" s="1"/>
  <c r="AM634" i="9"/>
  <c r="AO634" i="9" s="1"/>
  <c r="AN634" i="9"/>
  <c r="AE635" i="9"/>
  <c r="AL635" i="9" s="1"/>
  <c r="AM635" i="9"/>
  <c r="AO635" i="9" s="1"/>
  <c r="AN635" i="9"/>
  <c r="AE636" i="9"/>
  <c r="AL636" i="9" s="1"/>
  <c r="AM636" i="9"/>
  <c r="AN636" i="9"/>
  <c r="AE637" i="9"/>
  <c r="AL637" i="9" s="1"/>
  <c r="AM637" i="9"/>
  <c r="AN637" i="9"/>
  <c r="AE638" i="9"/>
  <c r="AL638" i="9" s="1"/>
  <c r="AM638" i="9"/>
  <c r="AN638" i="9"/>
  <c r="AE639" i="9"/>
  <c r="AL639" i="9"/>
  <c r="AM639" i="9"/>
  <c r="AN639" i="9"/>
  <c r="AE643" i="9"/>
  <c r="AL643" i="9"/>
  <c r="AM643" i="9"/>
  <c r="AN643" i="9"/>
  <c r="AE644" i="9"/>
  <c r="AL644" i="9"/>
  <c r="AM644" i="9"/>
  <c r="AN644" i="9"/>
  <c r="AE645" i="9"/>
  <c r="AL645" i="9" s="1"/>
  <c r="AM645" i="9"/>
  <c r="AO645" i="9" s="1"/>
  <c r="AN645" i="9"/>
  <c r="AE646" i="9"/>
  <c r="AL646" i="9" s="1"/>
  <c r="AM646" i="9"/>
  <c r="AN646" i="9"/>
  <c r="AE647" i="9"/>
  <c r="AL647" i="9" s="1"/>
  <c r="AM647" i="9"/>
  <c r="AN647" i="9"/>
  <c r="AE648" i="9"/>
  <c r="AL648" i="9" s="1"/>
  <c r="AM648" i="9"/>
  <c r="AN648" i="9"/>
  <c r="AE649" i="9"/>
  <c r="AL649" i="9" s="1"/>
  <c r="AM649" i="9"/>
  <c r="AN649" i="9"/>
  <c r="AE650" i="9"/>
  <c r="AL650" i="9" s="1"/>
  <c r="AM650" i="9"/>
  <c r="AN650" i="9"/>
  <c r="AE651" i="9"/>
  <c r="AL651" i="9" s="1"/>
  <c r="AM651" i="9"/>
  <c r="AN651" i="9"/>
  <c r="AE652" i="9"/>
  <c r="AL652" i="9" s="1"/>
  <c r="AM652" i="9"/>
  <c r="AN652" i="9"/>
  <c r="AE653" i="9"/>
  <c r="AL653" i="9" s="1"/>
  <c r="AM653" i="9"/>
  <c r="AO653" i="9" s="1"/>
  <c r="AN653" i="9"/>
  <c r="AE654" i="9"/>
  <c r="AL654" i="9" s="1"/>
  <c r="AM654" i="9"/>
  <c r="AN654" i="9"/>
  <c r="AE655" i="9"/>
  <c r="AL655" i="9" s="1"/>
  <c r="AM655" i="9"/>
  <c r="AN655" i="9"/>
  <c r="AE656" i="9"/>
  <c r="AL656" i="9" s="1"/>
  <c r="AM656" i="9"/>
  <c r="AN656" i="9"/>
  <c r="AE657" i="9"/>
  <c r="AL657" i="9" s="1"/>
  <c r="AM657" i="9"/>
  <c r="AO657" i="9" s="1"/>
  <c r="AN657" i="9"/>
  <c r="AE658" i="9"/>
  <c r="AL658" i="9"/>
  <c r="AM658" i="9"/>
  <c r="AN658" i="9"/>
  <c r="AE659" i="9"/>
  <c r="AL659" i="9"/>
  <c r="AM659" i="9"/>
  <c r="AN659" i="9"/>
  <c r="AE660" i="9"/>
  <c r="AL660" i="9"/>
  <c r="AM660" i="9"/>
  <c r="AN660" i="9"/>
  <c r="AE661" i="9"/>
  <c r="AL661" i="9" s="1"/>
  <c r="AM661" i="9"/>
  <c r="AN661" i="9"/>
  <c r="AE662" i="9"/>
  <c r="AL662" i="9" s="1"/>
  <c r="AM662" i="9"/>
  <c r="AN662" i="9"/>
  <c r="AE663" i="9"/>
  <c r="AL663" i="9" s="1"/>
  <c r="AM663" i="9"/>
  <c r="AN663" i="9"/>
  <c r="AE664" i="9"/>
  <c r="AL664" i="9" s="1"/>
  <c r="AM664" i="9"/>
  <c r="AN664" i="9"/>
  <c r="AE665" i="9"/>
  <c r="AG665" i="9"/>
  <c r="AI665" i="9"/>
  <c r="AM665" i="9"/>
  <c r="AN665" i="9"/>
  <c r="AE666" i="9"/>
  <c r="AL666" i="9"/>
  <c r="AM666" i="9"/>
  <c r="AN666" i="9"/>
  <c r="AE667" i="9"/>
  <c r="AL667" i="9" s="1"/>
  <c r="AM667" i="9"/>
  <c r="AN667" i="9"/>
  <c r="AE668" i="9"/>
  <c r="AL668" i="9" s="1"/>
  <c r="AM668" i="9"/>
  <c r="AN668" i="9"/>
  <c r="AE669" i="9"/>
  <c r="AL669" i="9" s="1"/>
  <c r="AM669" i="9"/>
  <c r="AN669" i="9"/>
  <c r="AE670" i="9"/>
  <c r="AL670" i="9" s="1"/>
  <c r="AM670" i="9"/>
  <c r="AN670" i="9"/>
  <c r="AE671" i="9"/>
  <c r="AL671" i="9" s="1"/>
  <c r="AM671" i="9"/>
  <c r="AN671" i="9"/>
  <c r="AE672" i="9"/>
  <c r="AL672" i="9"/>
  <c r="AM672" i="9"/>
  <c r="AN672" i="9"/>
  <c r="AE673" i="9"/>
  <c r="AL673" i="9"/>
  <c r="AM673" i="9"/>
  <c r="AN673" i="9"/>
  <c r="AE674" i="9"/>
  <c r="AL674" i="9"/>
  <c r="AM674" i="9"/>
  <c r="AN674" i="9"/>
  <c r="AE675" i="9"/>
  <c r="AL675" i="9" s="1"/>
  <c r="AM675" i="9"/>
  <c r="AN675" i="9"/>
  <c r="AE676" i="9"/>
  <c r="AL676" i="9" s="1"/>
  <c r="AM676" i="9"/>
  <c r="AN676" i="9"/>
  <c r="AE677" i="9"/>
  <c r="AL677" i="9" s="1"/>
  <c r="AM677" i="9"/>
  <c r="AN677" i="9"/>
  <c r="AE678" i="9"/>
  <c r="AL678" i="9" s="1"/>
  <c r="AM678" i="9"/>
  <c r="AO678" i="9" s="1"/>
  <c r="AN678" i="9"/>
  <c r="AE679" i="9"/>
  <c r="AL679" i="9" s="1"/>
  <c r="AM679" i="9"/>
  <c r="AN679" i="9"/>
  <c r="AE680" i="9"/>
  <c r="AL680" i="9"/>
  <c r="AM680" i="9"/>
  <c r="AN680" i="9"/>
  <c r="AE681" i="9"/>
  <c r="AL681" i="9"/>
  <c r="AM681" i="9"/>
  <c r="AN681" i="9"/>
  <c r="AE682" i="9"/>
  <c r="AL682" i="9"/>
  <c r="AM682" i="9"/>
  <c r="AN682" i="9"/>
  <c r="AE683" i="9"/>
  <c r="AL683" i="9" s="1"/>
  <c r="AM683" i="9"/>
  <c r="AN683" i="9"/>
  <c r="AE684" i="9"/>
  <c r="AL684" i="9" s="1"/>
  <c r="AM684" i="9"/>
  <c r="AN684" i="9"/>
  <c r="AE685" i="9"/>
  <c r="AL685" i="9" s="1"/>
  <c r="AM685" i="9"/>
  <c r="AO685" i="9" s="1"/>
  <c r="AN685" i="9"/>
  <c r="AE686" i="9"/>
  <c r="AL686" i="9" s="1"/>
  <c r="AM686" i="9"/>
  <c r="AN686" i="9"/>
  <c r="AE687" i="9"/>
  <c r="AL687" i="9" s="1"/>
  <c r="AM687" i="9"/>
  <c r="AN687" i="9"/>
  <c r="AE688" i="9"/>
  <c r="AL688" i="9" s="1"/>
  <c r="AM688" i="9"/>
  <c r="AN688" i="9"/>
  <c r="AE689" i="9"/>
  <c r="AL689" i="9" s="1"/>
  <c r="AM689" i="9"/>
  <c r="AN689" i="9"/>
  <c r="AE690" i="9"/>
  <c r="AL690" i="9" s="1"/>
  <c r="AM690" i="9"/>
  <c r="AN690" i="9"/>
  <c r="AE691" i="9"/>
  <c r="AG691" i="9"/>
  <c r="AI691" i="9" s="1"/>
  <c r="AM691" i="9"/>
  <c r="AN691" i="9"/>
  <c r="AE692" i="9"/>
  <c r="AL692" i="9" s="1"/>
  <c r="AM692" i="9"/>
  <c r="AO692" i="9" s="1"/>
  <c r="AN692" i="9"/>
  <c r="AE693" i="9"/>
  <c r="AL693" i="9" s="1"/>
  <c r="AM693" i="9"/>
  <c r="AO693" i="9" s="1"/>
  <c r="AN693" i="9"/>
  <c r="AE694" i="9"/>
  <c r="AL694" i="9" s="1"/>
  <c r="AM694" i="9"/>
  <c r="AN694" i="9"/>
  <c r="AE695" i="9"/>
  <c r="AL695" i="9" s="1"/>
  <c r="AM695" i="9"/>
  <c r="AN695" i="9"/>
  <c r="AE696" i="9"/>
  <c r="AL696" i="9" s="1"/>
  <c r="AM696" i="9"/>
  <c r="AN696" i="9"/>
  <c r="AE697" i="9"/>
  <c r="AL697" i="9" s="1"/>
  <c r="AM697" i="9"/>
  <c r="AN697" i="9"/>
  <c r="AE698" i="9"/>
  <c r="AL698" i="9" s="1"/>
  <c r="AM698" i="9"/>
  <c r="AO698" i="9" s="1"/>
  <c r="AN698" i="9"/>
  <c r="AE699" i="9"/>
  <c r="AL699" i="9" s="1"/>
  <c r="AM699" i="9"/>
  <c r="AN699" i="9"/>
  <c r="AE700" i="9"/>
  <c r="AL700" i="9" s="1"/>
  <c r="AM700" i="9"/>
  <c r="AN700" i="9"/>
  <c r="AE701" i="9"/>
  <c r="AL701" i="9" s="1"/>
  <c r="AM701" i="9"/>
  <c r="AN701" i="9"/>
  <c r="AE702" i="9"/>
  <c r="AL702" i="9"/>
  <c r="AM702" i="9"/>
  <c r="AN702" i="9"/>
  <c r="AE703" i="9"/>
  <c r="AL703" i="9"/>
  <c r="AM703" i="9"/>
  <c r="AN703" i="9"/>
  <c r="AE704" i="9"/>
  <c r="AL704" i="9"/>
  <c r="AM704" i="9"/>
  <c r="AN704" i="9"/>
  <c r="AE705" i="9"/>
  <c r="AL705" i="9" s="1"/>
  <c r="AM705" i="9"/>
  <c r="AN705" i="9"/>
  <c r="AE706" i="9"/>
  <c r="AL706" i="9" s="1"/>
  <c r="AM706" i="9"/>
  <c r="AN706" i="9"/>
  <c r="AE707" i="9"/>
  <c r="AL707" i="9" s="1"/>
  <c r="AM707" i="9"/>
  <c r="AN707" i="9"/>
  <c r="AE708" i="9"/>
  <c r="AL708" i="9" s="1"/>
  <c r="AI708" i="9"/>
  <c r="AM708" i="9"/>
  <c r="AN708" i="9"/>
  <c r="AE709" i="9"/>
  <c r="AL709" i="9" s="1"/>
  <c r="AM709" i="9"/>
  <c r="AN709" i="9"/>
  <c r="AE713" i="9"/>
  <c r="AL713" i="9" s="1"/>
  <c r="AM713" i="9"/>
  <c r="AN713" i="9"/>
  <c r="AE714" i="9"/>
  <c r="AL714" i="9" s="1"/>
  <c r="AM714" i="9"/>
  <c r="AN714" i="9"/>
  <c r="AE715" i="9"/>
  <c r="AL715" i="9" s="1"/>
  <c r="AM715" i="9"/>
  <c r="AN715" i="9"/>
  <c r="AE716" i="9"/>
  <c r="AL716" i="9" s="1"/>
  <c r="AM716" i="9"/>
  <c r="AO716" i="9" s="1"/>
  <c r="AN716" i="9"/>
  <c r="AE717" i="9"/>
  <c r="AL717" i="9" s="1"/>
  <c r="AM717" i="9"/>
  <c r="AN717" i="9"/>
  <c r="AE718" i="9"/>
  <c r="AL718" i="9" s="1"/>
  <c r="AM718" i="9"/>
  <c r="AN718" i="9"/>
  <c r="AE719" i="9"/>
  <c r="AL719" i="9" s="1"/>
  <c r="AI719" i="9"/>
  <c r="AM719" i="9"/>
  <c r="AN719" i="9"/>
  <c r="AE720" i="9"/>
  <c r="AL720" i="9" s="1"/>
  <c r="AM720" i="9"/>
  <c r="AN720" i="9"/>
  <c r="AE721" i="9"/>
  <c r="AL721" i="9" s="1"/>
  <c r="AM721" i="9"/>
  <c r="AO721" i="9" s="1"/>
  <c r="AN721" i="9"/>
  <c r="AE722" i="9"/>
  <c r="AL722" i="9" s="1"/>
  <c r="AG722" i="9"/>
  <c r="AM722" i="9"/>
  <c r="AN722" i="9"/>
  <c r="AE723" i="9"/>
  <c r="AG723" i="9"/>
  <c r="AI723" i="9" s="1"/>
  <c r="AM723" i="9"/>
  <c r="AN723" i="9"/>
  <c r="AE724" i="9"/>
  <c r="AG724" i="9" s="1"/>
  <c r="AI724" i="9" s="1"/>
  <c r="AL724" i="9" s="1"/>
  <c r="AM724" i="9"/>
  <c r="AO724" i="9" s="1"/>
  <c r="AN724" i="9"/>
  <c r="AE725" i="9"/>
  <c r="AL725" i="9" s="1"/>
  <c r="AM725" i="9"/>
  <c r="AN725" i="9"/>
  <c r="AE726" i="9"/>
  <c r="AL726" i="9"/>
  <c r="AM726" i="9"/>
  <c r="AN726" i="9"/>
  <c r="AE727" i="9"/>
  <c r="AL727" i="9"/>
  <c r="AM727" i="9"/>
  <c r="AN727" i="9"/>
  <c r="AO578" i="9" l="1"/>
  <c r="AO564" i="9"/>
  <c r="AO500" i="9"/>
  <c r="AO311" i="9"/>
  <c r="AO326" i="9"/>
  <c r="AO158" i="9"/>
  <c r="AO704" i="9"/>
  <c r="AO44" i="9"/>
  <c r="AO30" i="9"/>
  <c r="AO25" i="9"/>
  <c r="AO683" i="9"/>
  <c r="AO400" i="9"/>
  <c r="AO165" i="9"/>
  <c r="AO585" i="9"/>
  <c r="AO499" i="9"/>
  <c r="AO379" i="9"/>
  <c r="AO310" i="9"/>
  <c r="AO120" i="9"/>
  <c r="AO116" i="9"/>
  <c r="AO725" i="9"/>
  <c r="AO717" i="9"/>
  <c r="AO699" i="9"/>
  <c r="AO675" i="9"/>
  <c r="AO668" i="9"/>
  <c r="AO654" i="9"/>
  <c r="AO626" i="9"/>
  <c r="AO612" i="9"/>
  <c r="AO582" i="9"/>
  <c r="AO547" i="9"/>
  <c r="AO489" i="9"/>
  <c r="AO484" i="9"/>
  <c r="AO464" i="9"/>
  <c r="AO453" i="9"/>
  <c r="AO452" i="9"/>
  <c r="AO90" i="9"/>
  <c r="AO55" i="9"/>
  <c r="AO17" i="9"/>
  <c r="AO12" i="9"/>
  <c r="AO11" i="9"/>
  <c r="AO719" i="9"/>
  <c r="AO718" i="9"/>
  <c r="AO707" i="9"/>
  <c r="AO676" i="9"/>
  <c r="AO669" i="9"/>
  <c r="AL665" i="9"/>
  <c r="AO723" i="9"/>
  <c r="AO720" i="9"/>
  <c r="AO715" i="9"/>
  <c r="AO705" i="9"/>
  <c r="AO697" i="9"/>
  <c r="AO684" i="9"/>
  <c r="AO677" i="9"/>
  <c r="AO670" i="9"/>
  <c r="AO667" i="9"/>
  <c r="AO666" i="9"/>
  <c r="AO665" i="9"/>
  <c r="AO663" i="9"/>
  <c r="AO656" i="9"/>
  <c r="AO652" i="9"/>
  <c r="AO638" i="9"/>
  <c r="AO628" i="9"/>
  <c r="AO614" i="9"/>
  <c r="AO610" i="9"/>
  <c r="AO570" i="9"/>
  <c r="AL567" i="9"/>
  <c r="AO519" i="9"/>
  <c r="AO495" i="9"/>
  <c r="AO494" i="9"/>
  <c r="AO480" i="9"/>
  <c r="AO479" i="9"/>
  <c r="AO469" i="9"/>
  <c r="AO468" i="9"/>
  <c r="AO466" i="9"/>
  <c r="AO457" i="9"/>
  <c r="AO450" i="9"/>
  <c r="AO441" i="9"/>
  <c r="AO399" i="9"/>
  <c r="AO398" i="9"/>
  <c r="AO396" i="9"/>
  <c r="AO334" i="9"/>
  <c r="AO325" i="9"/>
  <c r="AO269" i="9"/>
  <c r="AO265" i="9"/>
  <c r="AO225" i="9"/>
  <c r="AO151" i="9"/>
  <c r="AO147" i="9"/>
  <c r="AO106" i="9"/>
  <c r="AO71" i="9"/>
  <c r="AO37" i="9"/>
  <c r="AO706" i="9"/>
  <c r="AO686" i="9"/>
  <c r="AO679" i="9"/>
  <c r="AO661" i="9"/>
  <c r="AO588" i="9"/>
  <c r="AO490" i="9"/>
  <c r="AO482" i="9"/>
  <c r="AO473" i="9"/>
  <c r="AO463" i="9"/>
  <c r="AO291" i="9"/>
  <c r="AO708" i="9"/>
  <c r="AO700" i="9"/>
  <c r="AO691" i="9"/>
  <c r="AO647" i="9"/>
  <c r="AO637" i="9"/>
  <c r="AO619" i="9"/>
  <c r="AO613" i="9"/>
  <c r="AO569" i="9"/>
  <c r="AO550" i="9"/>
  <c r="AO530" i="9"/>
  <c r="AO529" i="9"/>
  <c r="AO527" i="9"/>
  <c r="AO518" i="9"/>
  <c r="AO506" i="9"/>
  <c r="AO505" i="9"/>
  <c r="AO491" i="9"/>
  <c r="AO477" i="9"/>
  <c r="AO476" i="9"/>
  <c r="AO456" i="9"/>
  <c r="AO455" i="9"/>
  <c r="AO440" i="9"/>
  <c r="AO439" i="9"/>
  <c r="AO411" i="9"/>
  <c r="AO371" i="9"/>
  <c r="AO370" i="9"/>
  <c r="AO368" i="9"/>
  <c r="AO253" i="9"/>
  <c r="AL243" i="9"/>
  <c r="AL242" i="9"/>
  <c r="AO224" i="9"/>
  <c r="AO217" i="9"/>
  <c r="AO216" i="9"/>
  <c r="AO215" i="9"/>
  <c r="AO195" i="9"/>
  <c r="AO191" i="9"/>
  <c r="AO190" i="9"/>
  <c r="AO128" i="9"/>
  <c r="AO124" i="9"/>
  <c r="AO100" i="9"/>
  <c r="AO96" i="9"/>
  <c r="AO65" i="9"/>
  <c r="AO61" i="9"/>
  <c r="AO445" i="9"/>
  <c r="AO444" i="9"/>
  <c r="AO427" i="9"/>
  <c r="AO418" i="9"/>
  <c r="AO417" i="9"/>
  <c r="AO408" i="9"/>
  <c r="AO388" i="9"/>
  <c r="AO387" i="9"/>
  <c r="AO360" i="9"/>
  <c r="AO318" i="9"/>
  <c r="AL306" i="9"/>
  <c r="AO278" i="9"/>
  <c r="AO259" i="9"/>
  <c r="AO258" i="9"/>
  <c r="AO256" i="9"/>
  <c r="AO250" i="9"/>
  <c r="AO249" i="9"/>
  <c r="AO243" i="9"/>
  <c r="AO229" i="9"/>
  <c r="AO209" i="9"/>
  <c r="AO205" i="9"/>
  <c r="AO204" i="9"/>
  <c r="AO202" i="9"/>
  <c r="AO177" i="9"/>
  <c r="AO160" i="9"/>
  <c r="AO159" i="9"/>
  <c r="AO132" i="9"/>
  <c r="AO126" i="9"/>
  <c r="AO115" i="9"/>
  <c r="AO104" i="9"/>
  <c r="AO98" i="9"/>
  <c r="AO88" i="9"/>
  <c r="AO82" i="9"/>
  <c r="AO69" i="9"/>
  <c r="AO63" i="9"/>
  <c r="AO53" i="9"/>
  <c r="AO45" i="9"/>
  <c r="AO385" i="9"/>
  <c r="AO384" i="9"/>
  <c r="AO382" i="9"/>
  <c r="AO374" i="9"/>
  <c r="AO373" i="9"/>
  <c r="AO342" i="9"/>
  <c r="AO341" i="9"/>
  <c r="AO340" i="9"/>
  <c r="AO339" i="9"/>
  <c r="AO329" i="9"/>
  <c r="AO328" i="9"/>
  <c r="AO317" i="9"/>
  <c r="AO277" i="9"/>
  <c r="AO270" i="9"/>
  <c r="AO266" i="9"/>
  <c r="AO255" i="9"/>
  <c r="AO218" i="9"/>
  <c r="AO196" i="9"/>
  <c r="AO192" i="9"/>
  <c r="AO183" i="9"/>
  <c r="AO171" i="9"/>
  <c r="AO164" i="9"/>
  <c r="AL134" i="9"/>
  <c r="AO119" i="9"/>
  <c r="AO113" i="9"/>
  <c r="AO38" i="9"/>
  <c r="AO31" i="9"/>
  <c r="AO682" i="9"/>
  <c r="AO561" i="9"/>
  <c r="AO361" i="9"/>
  <c r="AO330" i="9"/>
  <c r="AO314" i="9"/>
  <c r="AO161" i="9"/>
  <c r="AO112" i="9"/>
  <c r="AO14" i="9"/>
  <c r="AO727" i="9"/>
  <c r="AO726" i="9"/>
  <c r="AL723" i="9"/>
  <c r="AO703" i="9"/>
  <c r="AO702" i="9"/>
  <c r="AO701" i="9"/>
  <c r="AO690" i="9"/>
  <c r="AO689" i="9"/>
  <c r="AO688" i="9"/>
  <c r="AO687" i="9"/>
  <c r="AO681" i="9"/>
  <c r="AO680" i="9"/>
  <c r="AO674" i="9"/>
  <c r="AO673" i="9"/>
  <c r="AO672" i="9"/>
  <c r="AO671" i="9"/>
  <c r="AO664" i="9"/>
  <c r="AO660" i="9"/>
  <c r="AO659" i="9"/>
  <c r="AO658" i="9"/>
  <c r="AO655" i="9"/>
  <c r="AO646" i="9"/>
  <c r="AO629" i="9"/>
  <c r="AO625" i="9"/>
  <c r="AO623" i="9"/>
  <c r="AO622" i="9"/>
  <c r="AO620" i="9"/>
  <c r="AO611" i="9"/>
  <c r="AO583" i="9"/>
  <c r="AO576" i="9"/>
  <c r="AO553" i="9"/>
  <c r="AO551" i="9"/>
  <c r="AO526" i="9"/>
  <c r="AO492" i="9"/>
  <c r="AO481" i="9"/>
  <c r="AO458" i="9"/>
  <c r="AO449" i="9"/>
  <c r="AO436" i="9"/>
  <c r="AO389" i="9"/>
  <c r="AO375" i="9"/>
  <c r="AO353" i="9"/>
  <c r="AO349" i="9"/>
  <c r="AO337" i="9"/>
  <c r="AO336" i="9"/>
  <c r="AO332" i="9"/>
  <c r="AO331" i="9"/>
  <c r="AO306" i="9"/>
  <c r="AO304" i="9"/>
  <c r="AO303" i="9"/>
  <c r="AO302" i="9"/>
  <c r="AO300" i="9"/>
  <c r="AO296" i="9"/>
  <c r="AO292" i="9"/>
  <c r="AO722" i="9"/>
  <c r="AO714" i="9"/>
  <c r="AO713" i="9"/>
  <c r="AO709" i="9"/>
  <c r="AO696" i="9"/>
  <c r="AO695" i="9"/>
  <c r="AO694" i="9"/>
  <c r="AL691" i="9"/>
  <c r="AO662" i="9"/>
  <c r="AO648" i="9"/>
  <c r="AO644" i="9"/>
  <c r="AO643" i="9"/>
  <c r="AO639" i="9"/>
  <c r="AO636" i="9"/>
  <c r="AO627" i="9"/>
  <c r="AO618" i="9"/>
  <c r="AO590" i="9"/>
  <c r="AO562" i="9"/>
  <c r="AO536" i="9"/>
  <c r="AO535" i="9"/>
  <c r="AO533" i="9"/>
  <c r="AO532" i="9"/>
  <c r="AO474" i="9"/>
  <c r="AO465" i="9"/>
  <c r="AO442" i="9"/>
  <c r="AO415" i="9"/>
  <c r="AO414" i="9"/>
  <c r="AO412" i="9"/>
  <c r="AO402" i="9"/>
  <c r="AO401" i="9"/>
  <c r="AO343" i="9"/>
  <c r="AO322" i="9"/>
  <c r="AO321" i="9"/>
  <c r="AO320" i="9"/>
  <c r="AO316" i="9"/>
  <c r="AO315" i="9"/>
  <c r="AE284" i="9"/>
  <c r="AL284" i="9" s="1"/>
  <c r="AL275" i="9"/>
  <c r="AO586" i="9"/>
  <c r="AO566" i="9"/>
  <c r="AO560" i="9"/>
  <c r="AO558" i="9"/>
  <c r="AO557" i="9"/>
  <c r="AO552" i="9"/>
  <c r="AO546" i="9"/>
  <c r="AO522" i="9"/>
  <c r="AO521" i="9"/>
  <c r="AO517" i="9"/>
  <c r="AO516" i="9"/>
  <c r="AO487" i="9"/>
  <c r="AO486" i="9"/>
  <c r="AO478" i="9"/>
  <c r="AO470" i="9"/>
  <c r="AO462" i="9"/>
  <c r="AO454" i="9"/>
  <c r="AO446" i="9"/>
  <c r="AO438" i="9"/>
  <c r="AO426" i="9"/>
  <c r="AO425" i="9"/>
  <c r="AO422" i="9"/>
  <c r="AO420" i="9"/>
  <c r="AO410" i="9"/>
  <c r="AO409" i="9"/>
  <c r="AO406" i="9"/>
  <c r="AO404" i="9"/>
  <c r="AO392" i="9"/>
  <c r="AO386" i="9"/>
  <c r="AO381" i="9"/>
  <c r="AO372" i="9"/>
  <c r="AO367" i="9"/>
  <c r="AL304" i="9"/>
  <c r="AO290" i="9"/>
  <c r="AO289" i="9"/>
  <c r="AO286" i="9"/>
  <c r="AO275" i="9"/>
  <c r="AO273" i="9"/>
  <c r="AO272" i="9"/>
  <c r="AO268" i="9"/>
  <c r="AO264" i="9"/>
  <c r="AO260" i="9"/>
  <c r="AO240" i="9"/>
  <c r="AO238" i="9"/>
  <c r="AO184" i="9"/>
  <c r="AL165" i="9"/>
  <c r="AO153" i="9"/>
  <c r="AO40" i="9"/>
  <c r="AO33" i="9"/>
  <c r="AO651" i="9"/>
  <c r="AO650" i="9"/>
  <c r="AO649" i="9"/>
  <c r="AO632" i="9"/>
  <c r="AO631" i="9"/>
  <c r="AO630" i="9"/>
  <c r="AL622" i="9"/>
  <c r="AO584" i="9"/>
  <c r="AO577" i="9"/>
  <c r="AO563" i="9"/>
  <c r="AO555" i="9"/>
  <c r="AO544" i="9"/>
  <c r="AO543" i="9"/>
  <c r="AO539" i="9"/>
  <c r="AO538" i="9"/>
  <c r="AO514" i="9"/>
  <c r="AO513" i="9"/>
  <c r="AO509" i="9"/>
  <c r="AO508" i="9"/>
  <c r="AO419" i="9"/>
  <c r="AO403" i="9"/>
  <c r="AO391" i="9"/>
  <c r="AO390" i="9"/>
  <c r="AO380" i="9"/>
  <c r="AO378" i="9"/>
  <c r="AO376" i="9"/>
  <c r="AO366" i="9"/>
  <c r="AO365" i="9"/>
  <c r="AO359" i="9"/>
  <c r="AO357" i="9"/>
  <c r="AO356" i="9"/>
  <c r="AO354" i="9"/>
  <c r="AL341" i="9"/>
  <c r="AO309" i="9"/>
  <c r="AO307" i="9"/>
  <c r="AO287" i="9"/>
  <c r="AO282" i="9"/>
  <c r="AO281" i="9"/>
  <c r="AO280" i="9"/>
  <c r="AL263" i="9"/>
  <c r="AO181" i="9"/>
  <c r="AO142" i="9"/>
  <c r="AO141" i="9"/>
  <c r="AO20" i="9"/>
  <c r="AO19" i="9"/>
  <c r="AO251" i="9"/>
  <c r="AO248" i="9"/>
  <c r="AO236" i="9"/>
  <c r="AO234" i="9"/>
  <c r="AO223" i="9"/>
  <c r="AO214" i="9"/>
  <c r="AO210" i="9"/>
  <c r="AO208" i="9"/>
  <c r="AO201" i="9"/>
  <c r="AO199" i="9"/>
  <c r="AO198" i="9"/>
  <c r="AO194" i="9"/>
  <c r="AO189" i="9"/>
  <c r="AO176" i="9"/>
  <c r="AL174" i="9"/>
  <c r="AO157" i="9"/>
  <c r="AO146" i="9"/>
  <c r="AO145" i="9"/>
  <c r="AO140" i="9"/>
  <c r="AO138" i="9"/>
  <c r="AO137" i="9"/>
  <c r="AO36" i="9"/>
  <c r="AO29" i="9"/>
  <c r="AO24" i="9"/>
  <c r="AO16" i="9"/>
  <c r="AO15" i="9"/>
  <c r="AO241" i="9"/>
  <c r="AO233" i="9"/>
  <c r="AO232" i="9"/>
  <c r="AO231" i="9"/>
  <c r="AO227" i="9"/>
  <c r="AO174" i="9"/>
  <c r="AO173" i="9"/>
  <c r="AO172" i="9"/>
  <c r="AO170" i="9"/>
  <c r="AO166" i="9"/>
  <c r="AO155" i="9"/>
  <c r="AO143" i="9"/>
  <c r="AO135" i="9"/>
  <c r="AO131" i="9"/>
  <c r="AO127" i="9"/>
  <c r="AO123" i="9"/>
  <c r="AO42" i="9"/>
  <c r="AO22" i="9"/>
  <c r="AO13" i="9"/>
  <c r="AO579" i="9"/>
  <c r="AO567" i="9"/>
  <c r="AO556" i="9"/>
  <c r="AO358" i="9"/>
  <c r="AO350" i="9"/>
  <c r="AO288" i="9"/>
  <c r="AO284" i="9"/>
  <c r="AO230" i="9"/>
  <c r="AO154" i="9"/>
  <c r="AO18" i="9"/>
  <c r="AO10" i="9"/>
  <c r="AO617" i="9"/>
  <c r="AO609" i="9"/>
  <c r="AO605" i="9"/>
  <c r="AO601" i="9"/>
  <c r="AO597" i="9"/>
  <c r="AO593" i="9"/>
  <c r="AO571" i="9"/>
  <c r="AO568" i="9"/>
  <c r="AO548" i="9"/>
  <c r="AO545" i="9"/>
  <c r="AO537" i="9"/>
  <c r="AO531" i="9"/>
  <c r="AO523" i="9"/>
  <c r="AO515" i="9"/>
  <c r="AO507" i="9"/>
  <c r="AO496" i="9"/>
  <c r="AO488" i="9"/>
  <c r="AO348" i="9"/>
  <c r="AO301" i="9"/>
  <c r="AO285" i="9"/>
  <c r="AO283" i="9"/>
  <c r="AO279" i="9"/>
  <c r="AO274" i="9"/>
  <c r="AO168" i="9"/>
  <c r="AO144" i="9"/>
  <c r="AO136" i="9"/>
  <c r="AO133" i="9"/>
  <c r="AO129" i="9"/>
  <c r="AO125" i="9"/>
  <c r="AO109" i="9"/>
  <c r="AO105" i="9"/>
  <c r="AO101" i="9"/>
  <c r="AO97" i="9"/>
  <c r="AO93" i="9"/>
  <c r="AO89" i="9"/>
  <c r="AO85" i="9"/>
  <c r="AO81" i="9"/>
  <c r="AO77" i="9"/>
  <c r="AO70" i="9"/>
  <c r="AO66" i="9"/>
  <c r="AO62" i="9"/>
  <c r="AO58" i="9"/>
  <c r="AO54" i="9"/>
  <c r="AO50" i="9"/>
  <c r="AO41" i="9"/>
  <c r="AO34" i="9"/>
  <c r="AO27" i="9"/>
  <c r="AO21" i="9"/>
  <c r="AO435" i="9"/>
  <c r="AO424" i="9"/>
  <c r="AO416" i="9"/>
  <c r="AG590" i="9"/>
  <c r="AI590" i="9" s="1"/>
  <c r="AL590" i="9" s="1"/>
  <c r="AO607" i="9"/>
  <c r="AO599" i="9"/>
  <c r="AO591" i="9"/>
  <c r="AO624" i="9"/>
  <c r="AO587" i="9"/>
  <c r="AO575" i="9"/>
  <c r="AL350" i="9"/>
  <c r="AG380" i="9"/>
  <c r="AL380" i="9"/>
  <c r="AO603" i="9"/>
  <c r="AO595" i="9"/>
  <c r="AL623" i="9"/>
  <c r="AO615" i="9"/>
  <c r="AO589" i="9"/>
  <c r="AG584" i="9"/>
  <c r="AI584" i="9" s="1"/>
  <c r="AL584" i="9" s="1"/>
  <c r="AO565" i="9"/>
  <c r="AO549" i="9"/>
  <c r="AO542" i="9"/>
  <c r="AO528" i="9"/>
  <c r="AO512" i="9"/>
  <c r="AO493" i="9"/>
  <c r="AO483" i="9"/>
  <c r="AO467" i="9"/>
  <c r="AO451" i="9"/>
  <c r="AO421" i="9"/>
  <c r="AO405" i="9"/>
  <c r="AO394" i="9"/>
  <c r="AO377" i="9"/>
  <c r="AO338" i="9"/>
  <c r="AO335" i="9"/>
  <c r="AO319" i="9"/>
  <c r="AO308" i="9"/>
  <c r="AO299" i="9"/>
  <c r="AO257" i="9"/>
  <c r="AO186" i="9"/>
  <c r="AO520" i="9"/>
  <c r="AO504" i="9"/>
  <c r="AO485" i="9"/>
  <c r="AL484" i="9"/>
  <c r="AO475" i="9"/>
  <c r="AO459" i="9"/>
  <c r="AO443" i="9"/>
  <c r="AO429" i="9"/>
  <c r="AO413" i="9"/>
  <c r="AO397" i="9"/>
  <c r="AO383" i="9"/>
  <c r="AO369" i="9"/>
  <c r="AO355" i="9"/>
  <c r="AO345" i="9"/>
  <c r="AO327" i="9"/>
  <c r="AO305" i="9"/>
  <c r="AO271" i="9"/>
  <c r="AL247" i="9"/>
  <c r="AO242" i="9"/>
  <c r="AO200" i="9"/>
  <c r="AO197" i="9"/>
  <c r="AO263" i="9"/>
  <c r="AO245" i="9"/>
  <c r="AO235" i="9"/>
  <c r="AO219" i="9"/>
  <c r="AO203" i="9"/>
  <c r="AO178" i="9"/>
  <c r="AO175" i="9"/>
  <c r="AO276" i="9"/>
  <c r="AO267" i="9"/>
  <c r="AO254" i="9"/>
  <c r="AO239" i="9"/>
  <c r="AO228" i="9"/>
  <c r="AO226" i="9"/>
  <c r="AO207" i="9"/>
  <c r="AO193" i="9"/>
  <c r="AO182" i="9"/>
  <c r="AO156" i="9"/>
  <c r="AO152" i="9"/>
  <c r="AO46" i="9"/>
  <c r="AO43" i="9"/>
  <c r="AO39" i="9"/>
  <c r="AO35" i="9"/>
  <c r="AO32" i="9"/>
  <c r="AO28" i="9"/>
  <c r="AO26" i="9"/>
  <c r="AO23" i="9"/>
  <c r="AO163" i="9"/>
  <c r="AL151" i="9"/>
  <c r="AO118" i="9"/>
  <c r="AO114" i="9"/>
  <c r="AO111" i="9"/>
  <c r="AO107" i="9"/>
  <c r="AO103" i="9"/>
  <c r="AO99" i="9"/>
  <c r="AO95" i="9"/>
  <c r="AO91" i="9"/>
  <c r="AO87" i="9"/>
  <c r="AO83" i="9"/>
  <c r="AO79" i="9"/>
  <c r="AO72" i="9"/>
  <c r="AO68" i="9"/>
  <c r="AO64" i="9"/>
  <c r="AO60" i="9"/>
  <c r="AO56" i="9"/>
  <c r="AO52" i="9"/>
  <c r="AO49" i="9"/>
  <c r="AK13" i="6"/>
  <c r="AK14" i="6"/>
  <c r="AK15" i="6"/>
  <c r="AK19" i="6"/>
  <c r="AK20" i="6"/>
  <c r="AK23" i="6"/>
  <c r="AK24" i="6"/>
  <c r="AK25" i="6"/>
  <c r="AK26" i="6"/>
  <c r="AK30" i="6"/>
  <c r="AK31" i="6"/>
  <c r="AK32" i="6"/>
  <c r="AK33" i="6"/>
  <c r="AK34" i="6"/>
  <c r="AK37" i="6"/>
  <c r="AK38" i="6"/>
  <c r="AK39" i="6"/>
  <c r="AK43" i="6"/>
  <c r="AK45" i="6"/>
  <c r="AK48" i="6"/>
  <c r="AK50" i="6"/>
  <c r="AK51" i="6"/>
  <c r="AK52" i="6"/>
  <c r="AK53" i="6"/>
  <c r="AK54" i="6"/>
  <c r="AK57" i="6"/>
  <c r="AK58" i="6"/>
  <c r="AK59" i="6"/>
  <c r="AK60" i="6"/>
  <c r="AK63" i="6"/>
  <c r="AK65" i="6"/>
  <c r="AK66" i="6"/>
  <c r="AK71" i="6"/>
  <c r="AK72" i="6"/>
  <c r="AK77" i="6"/>
  <c r="AK79" i="6"/>
  <c r="AK81" i="6"/>
  <c r="AK82" i="6"/>
  <c r="AK84" i="6"/>
  <c r="AK88" i="6"/>
  <c r="AK90" i="6"/>
  <c r="AK93" i="6"/>
  <c r="AK94" i="6"/>
  <c r="AK95" i="6"/>
  <c r="AK97" i="6"/>
  <c r="AK101" i="6"/>
  <c r="AK102" i="6"/>
  <c r="AK104" i="6"/>
  <c r="AK106" i="6"/>
  <c r="AK107" i="6"/>
  <c r="AK112" i="6"/>
  <c r="AK117" i="6"/>
  <c r="AK118" i="6"/>
  <c r="AK119" i="6"/>
  <c r="AK120" i="6"/>
  <c r="AK17" i="6"/>
  <c r="AU17" i="6" s="1"/>
  <c r="AK46" i="6"/>
  <c r="AU46" i="6" s="1"/>
  <c r="AK47" i="6"/>
  <c r="AK49" i="6"/>
  <c r="AU49" i="6" s="1"/>
  <c r="AK56" i="6"/>
  <c r="AK61" i="6"/>
  <c r="AU61" i="6" s="1"/>
  <c r="AK64" i="6"/>
  <c r="AU64" i="6" s="1"/>
  <c r="AK68" i="6"/>
  <c r="AU68" i="6" s="1"/>
  <c r="AK75" i="6"/>
  <c r="AU75" i="6" s="1"/>
  <c r="AK87" i="6"/>
  <c r="AU87" i="6" s="1"/>
  <c r="AK92" i="6"/>
  <c r="AU92" i="6" s="1"/>
  <c r="AK96" i="6"/>
  <c r="AU96" i="6" s="1"/>
  <c r="AK109" i="6"/>
  <c r="AK111" i="6"/>
  <c r="AU111" i="6" s="1"/>
  <c r="AK113" i="6"/>
  <c r="AK121" i="6"/>
  <c r="AU121" i="6" s="1"/>
  <c r="AK122" i="6"/>
  <c r="AU122" i="6" s="1"/>
  <c r="AK123" i="6"/>
  <c r="AU123" i="6" s="1"/>
  <c r="AK62" i="6"/>
  <c r="AU62" i="6" s="1"/>
  <c r="AK105" i="6"/>
  <c r="AU105" i="6" s="1"/>
  <c r="AK41" i="6"/>
  <c r="AU41" i="6" s="1"/>
  <c r="AK108" i="6"/>
  <c r="AU108" i="6" s="1"/>
  <c r="AK86" i="6"/>
  <c r="O13" i="6"/>
  <c r="O14" i="6"/>
  <c r="O15" i="6"/>
  <c r="O19" i="6"/>
  <c r="O20" i="6"/>
  <c r="O23" i="6"/>
  <c r="O24" i="6"/>
  <c r="O25" i="6"/>
  <c r="O26" i="6"/>
  <c r="O30" i="6"/>
  <c r="O31" i="6"/>
  <c r="O32" i="6"/>
  <c r="O33" i="6"/>
  <c r="O34" i="6"/>
  <c r="O37" i="6"/>
  <c r="O38" i="6"/>
  <c r="O39" i="6"/>
  <c r="O43" i="6"/>
  <c r="O45" i="6"/>
  <c r="O48" i="6"/>
  <c r="O50" i="6"/>
  <c r="O51" i="6"/>
  <c r="O52" i="6"/>
  <c r="O53" i="6"/>
  <c r="O54" i="6"/>
  <c r="O57" i="6"/>
  <c r="O58" i="6"/>
  <c r="O59" i="6"/>
  <c r="O60" i="6"/>
  <c r="O63" i="6"/>
  <c r="O65" i="6"/>
  <c r="O66" i="6"/>
  <c r="O71" i="6"/>
  <c r="O72" i="6"/>
  <c r="O77" i="6"/>
  <c r="O79" i="6"/>
  <c r="O81" i="6"/>
  <c r="O82" i="6"/>
  <c r="O84" i="6"/>
  <c r="O88" i="6"/>
  <c r="O90" i="6"/>
  <c r="O93" i="6"/>
  <c r="O94" i="6"/>
  <c r="O95" i="6"/>
  <c r="O97" i="6"/>
  <c r="O101" i="6"/>
  <c r="O102" i="6"/>
  <c r="O104" i="6"/>
  <c r="O106" i="6"/>
  <c r="O107" i="6"/>
  <c r="O112" i="6"/>
  <c r="O117" i="6"/>
  <c r="O118" i="6"/>
  <c r="O119" i="6"/>
  <c r="O120" i="6"/>
  <c r="O17" i="6"/>
  <c r="O46" i="6"/>
  <c r="O47" i="6"/>
  <c r="O49" i="6"/>
  <c r="O56" i="6"/>
  <c r="O61" i="6"/>
  <c r="O64" i="6"/>
  <c r="O68" i="6"/>
  <c r="O75" i="6"/>
  <c r="O87" i="6"/>
  <c r="O92" i="6"/>
  <c r="O96" i="6"/>
  <c r="O109" i="6"/>
  <c r="O111" i="6"/>
  <c r="O113" i="6"/>
  <c r="O121" i="6"/>
  <c r="O122" i="6"/>
  <c r="O123" i="6"/>
  <c r="O62" i="6"/>
  <c r="O124" i="6"/>
  <c r="O91" i="6"/>
  <c r="O70" i="6"/>
  <c r="O12" i="6"/>
  <c r="O29" i="6"/>
  <c r="O76" i="6"/>
  <c r="O115" i="6"/>
  <c r="O85" i="6"/>
  <c r="O21" i="6"/>
  <c r="O22" i="6"/>
  <c r="O83" i="6"/>
  <c r="O80" i="6"/>
  <c r="O16" i="6"/>
  <c r="O28" i="6"/>
  <c r="O44" i="6"/>
  <c r="O42" i="6"/>
  <c r="O35" i="6"/>
  <c r="O105" i="6"/>
  <c r="O55" i="6"/>
  <c r="O114" i="6"/>
  <c r="O103" i="6"/>
  <c r="O69" i="6"/>
  <c r="O27" i="6"/>
  <c r="O116" i="6"/>
  <c r="O73" i="6"/>
  <c r="O40" i="6"/>
  <c r="O78" i="6"/>
  <c r="O110" i="6"/>
  <c r="O18" i="6"/>
  <c r="O41" i="6"/>
  <c r="O74" i="6"/>
  <c r="O89" i="6"/>
  <c r="O36" i="6"/>
  <c r="O108" i="6"/>
  <c r="O86" i="6"/>
  <c r="O67" i="6"/>
  <c r="M13" i="6"/>
  <c r="M14" i="6"/>
  <c r="M15" i="6"/>
  <c r="M19" i="6"/>
  <c r="M20" i="6"/>
  <c r="M23" i="6"/>
  <c r="M24" i="6"/>
  <c r="M25" i="6"/>
  <c r="M26" i="6"/>
  <c r="M30" i="6"/>
  <c r="M31" i="6"/>
  <c r="M32" i="6"/>
  <c r="M33" i="6"/>
  <c r="M34" i="6"/>
  <c r="M37" i="6"/>
  <c r="M38" i="6"/>
  <c r="M39" i="6"/>
  <c r="M43" i="6"/>
  <c r="M45" i="6"/>
  <c r="M48" i="6"/>
  <c r="M50" i="6"/>
  <c r="M51" i="6"/>
  <c r="M52" i="6"/>
  <c r="M53" i="6"/>
  <c r="M54" i="6"/>
  <c r="M57" i="6"/>
  <c r="M58" i="6"/>
  <c r="M59" i="6"/>
  <c r="M60" i="6"/>
  <c r="M63" i="6"/>
  <c r="M65" i="6"/>
  <c r="M66" i="6"/>
  <c r="M71" i="6"/>
  <c r="M72" i="6"/>
  <c r="M77" i="6"/>
  <c r="M79" i="6"/>
  <c r="M81" i="6"/>
  <c r="M82" i="6"/>
  <c r="M84" i="6"/>
  <c r="M88" i="6"/>
  <c r="M90" i="6"/>
  <c r="M93" i="6"/>
  <c r="M94" i="6"/>
  <c r="M95" i="6"/>
  <c r="M97" i="6"/>
  <c r="M101" i="6"/>
  <c r="M102" i="6"/>
  <c r="M104" i="6"/>
  <c r="M106" i="6"/>
  <c r="M107" i="6"/>
  <c r="M112" i="6"/>
  <c r="M117" i="6"/>
  <c r="M118" i="6"/>
  <c r="M119" i="6"/>
  <c r="M120" i="6"/>
  <c r="M17" i="6"/>
  <c r="M46" i="6"/>
  <c r="M47" i="6"/>
  <c r="M49" i="6"/>
  <c r="M56" i="6"/>
  <c r="M61" i="6"/>
  <c r="M64" i="6"/>
  <c r="M68" i="6"/>
  <c r="M75" i="6"/>
  <c r="M87" i="6"/>
  <c r="M92" i="6"/>
  <c r="M96" i="6"/>
  <c r="M109" i="6"/>
  <c r="M111" i="6"/>
  <c r="M113" i="6"/>
  <c r="M121" i="6"/>
  <c r="M122" i="6"/>
  <c r="M123" i="6"/>
  <c r="M62" i="6"/>
  <c r="M124" i="6"/>
  <c r="AS124" i="6" s="1"/>
  <c r="M91" i="6"/>
  <c r="M70" i="6"/>
  <c r="M12" i="6"/>
  <c r="AS12" i="6" s="1"/>
  <c r="M29" i="6"/>
  <c r="M76" i="6"/>
  <c r="M115" i="6"/>
  <c r="M85" i="6"/>
  <c r="M21" i="6"/>
  <c r="M22" i="6"/>
  <c r="M83" i="6"/>
  <c r="M80" i="6"/>
  <c r="M16" i="6"/>
  <c r="M28" i="6"/>
  <c r="M44" i="6"/>
  <c r="M42" i="6"/>
  <c r="M35" i="6"/>
  <c r="M105" i="6"/>
  <c r="M55" i="6"/>
  <c r="M114" i="6"/>
  <c r="M103" i="6"/>
  <c r="M69" i="6"/>
  <c r="M27" i="6"/>
  <c r="M116" i="6"/>
  <c r="M73" i="6"/>
  <c r="M40" i="6"/>
  <c r="M78" i="6"/>
  <c r="M110" i="6"/>
  <c r="M18" i="6"/>
  <c r="M41" i="6"/>
  <c r="M74" i="6"/>
  <c r="M89" i="6"/>
  <c r="M36" i="6"/>
  <c r="M108" i="6"/>
  <c r="M86" i="6"/>
  <c r="M67" i="6"/>
  <c r="AA67" i="6"/>
  <c r="Q67" i="6"/>
  <c r="Q86" i="6"/>
  <c r="AA36" i="6"/>
  <c r="AK36" i="6" s="1"/>
  <c r="AU36" i="6" s="1"/>
  <c r="Q89" i="6"/>
  <c r="AK89" i="6" s="1"/>
  <c r="Q74" i="6"/>
  <c r="AK74" i="6" s="1"/>
  <c r="AU74" i="6" s="1"/>
  <c r="AA18" i="6"/>
  <c r="Q18" i="6"/>
  <c r="AK18" i="6" s="1"/>
  <c r="Q110" i="6"/>
  <c r="AK110" i="6" s="1"/>
  <c r="AA78" i="6"/>
  <c r="AK78" i="6" s="1"/>
  <c r="AE40" i="6"/>
  <c r="AA40" i="6"/>
  <c r="Q40" i="6"/>
  <c r="AA73" i="6"/>
  <c r="Q73" i="6"/>
  <c r="AA116" i="6"/>
  <c r="AK116" i="6" s="1"/>
  <c r="AO27" i="6"/>
  <c r="AE27" i="6"/>
  <c r="AK27" i="6" s="1"/>
  <c r="AA27" i="6"/>
  <c r="AA69" i="6"/>
  <c r="S69" i="6"/>
  <c r="Q69" i="6"/>
  <c r="AE103" i="6"/>
  <c r="AA103" i="6"/>
  <c r="U103" i="6"/>
  <c r="Q114" i="6"/>
  <c r="AK114" i="6" s="1"/>
  <c r="AO55" i="6"/>
  <c r="AE55" i="6"/>
  <c r="AA55" i="6"/>
  <c r="Q35" i="6"/>
  <c r="AK35" i="6" s="1"/>
  <c r="Q42" i="6"/>
  <c r="AK42" i="6" s="1"/>
  <c r="AA44" i="6"/>
  <c r="S44" i="6"/>
  <c r="Q44" i="6"/>
  <c r="S28" i="6"/>
  <c r="Q28" i="6"/>
  <c r="AK28" i="6" s="1"/>
  <c r="Q16" i="6"/>
  <c r="AK16" i="6" s="1"/>
  <c r="AA80" i="6"/>
  <c r="AK80" i="6" s="1"/>
  <c r="Q80" i="6"/>
  <c r="S83" i="6"/>
  <c r="Q83" i="6"/>
  <c r="S22" i="6"/>
  <c r="Q22" i="6"/>
  <c r="AA21" i="6"/>
  <c r="Q21" i="6"/>
  <c r="AA85" i="6"/>
  <c r="Q85" i="6"/>
  <c r="AA115" i="6"/>
  <c r="Q115" i="6"/>
  <c r="AE76" i="6"/>
  <c r="AK76" i="6" s="1"/>
  <c r="AO29" i="6"/>
  <c r="AE29" i="6"/>
  <c r="AA29" i="6"/>
  <c r="Q12" i="6"/>
  <c r="AK12" i="6" s="1"/>
  <c r="AU12" i="6" s="1"/>
  <c r="S70" i="6"/>
  <c r="Q70" i="6"/>
  <c r="AK70" i="6" s="1"/>
  <c r="AA91" i="6"/>
  <c r="U91" i="6"/>
  <c r="Q124" i="6"/>
  <c r="AK124" i="6" s="1"/>
  <c r="AQ62" i="6"/>
  <c r="AU113" i="6"/>
  <c r="AU109" i="6"/>
  <c r="AU56" i="6"/>
  <c r="AU47" i="6"/>
  <c r="AK67" i="6" l="1"/>
  <c r="AU67" i="6" s="1"/>
  <c r="AS108" i="6"/>
  <c r="AS41" i="6"/>
  <c r="AS40" i="6"/>
  <c r="AS69" i="6"/>
  <c r="AS28" i="6"/>
  <c r="AS22" i="6"/>
  <c r="AS76" i="6"/>
  <c r="AK69" i="6"/>
  <c r="AU69" i="6" s="1"/>
  <c r="AK115" i="6"/>
  <c r="AK21" i="6"/>
  <c r="AU21" i="6" s="1"/>
  <c r="AK83" i="6"/>
  <c r="AW83" i="6" s="1"/>
  <c r="AK55" i="6"/>
  <c r="AW55" i="6" s="1"/>
  <c r="AK103" i="6"/>
  <c r="AK40" i="6"/>
  <c r="AY40" i="6" s="1"/>
  <c r="AK85" i="6"/>
  <c r="AW85" i="6" s="1"/>
  <c r="AS115" i="6"/>
  <c r="AS47" i="6"/>
  <c r="AK44" i="6"/>
  <c r="AW44" i="6" s="1"/>
  <c r="AY28" i="6"/>
  <c r="AK29" i="6"/>
  <c r="AW29" i="6" s="1"/>
  <c r="AK22" i="6"/>
  <c r="AW22" i="6" s="1"/>
  <c r="AK73" i="6"/>
  <c r="AU73" i="6" s="1"/>
  <c r="AS86" i="6"/>
  <c r="AW74" i="6"/>
  <c r="AK91" i="6"/>
  <c r="AU91" i="6" s="1"/>
  <c r="AW40" i="6"/>
  <c r="AU89" i="6"/>
  <c r="AU42" i="6"/>
  <c r="AU116" i="6"/>
  <c r="AU114" i="6"/>
  <c r="AU78" i="6"/>
  <c r="AW89" i="6"/>
  <c r="AS116" i="6"/>
  <c r="AS114" i="6"/>
  <c r="AS42" i="6"/>
  <c r="AU35" i="6"/>
  <c r="AS91" i="6"/>
  <c r="AW108" i="6"/>
  <c r="AS74" i="6"/>
  <c r="AS78" i="6"/>
  <c r="AS27" i="6"/>
  <c r="AS44" i="6"/>
  <c r="AY21" i="6"/>
  <c r="AY76" i="6"/>
  <c r="AY64" i="6"/>
  <c r="AY22" i="6"/>
  <c r="AW105" i="6"/>
  <c r="AS89" i="6"/>
  <c r="AY89" i="6"/>
  <c r="AW124" i="6"/>
  <c r="AU16" i="6"/>
  <c r="AW69" i="6"/>
  <c r="AS80" i="6"/>
  <c r="AS113" i="6"/>
  <c r="AS92" i="6"/>
  <c r="AS55" i="6"/>
  <c r="AS83" i="6"/>
  <c r="AW76" i="6"/>
  <c r="AS21" i="6"/>
  <c r="AY18" i="6"/>
  <c r="AS67" i="6"/>
  <c r="AS36" i="6"/>
  <c r="AS18" i="6"/>
  <c r="AS73" i="6"/>
  <c r="AS35" i="6"/>
  <c r="AS16" i="6"/>
  <c r="AS70" i="6"/>
  <c r="AS62" i="6"/>
  <c r="AS85" i="6"/>
  <c r="AU28" i="6"/>
  <c r="AU55" i="6"/>
  <c r="AM103" i="6"/>
  <c r="AO103" i="6" s="1"/>
  <c r="AY103" i="6" s="1"/>
  <c r="AU110" i="6"/>
  <c r="AY41" i="6"/>
  <c r="AW36" i="6"/>
  <c r="AY124" i="6"/>
  <c r="AW70" i="6"/>
  <c r="AY70" i="6"/>
  <c r="AU70" i="6"/>
  <c r="AU22" i="6"/>
  <c r="AY44" i="6"/>
  <c r="AW114" i="6"/>
  <c r="AS103" i="6"/>
  <c r="AU40" i="6"/>
  <c r="AU18" i="6"/>
  <c r="AW41" i="6"/>
  <c r="AY74" i="6"/>
  <c r="AU86" i="6"/>
  <c r="AY67" i="6"/>
  <c r="AW67" i="6"/>
  <c r="AW27" i="6"/>
  <c r="AU27" i="6"/>
  <c r="AY62" i="6"/>
  <c r="AW62" i="6"/>
  <c r="AU124" i="6"/>
  <c r="AW91" i="6"/>
  <c r="AW12" i="6"/>
  <c r="AY12" i="6"/>
  <c r="AS29" i="6"/>
  <c r="AU76" i="6"/>
  <c r="AU80" i="6"/>
  <c r="AW16" i="6"/>
  <c r="AW28" i="6"/>
  <c r="AY42" i="6"/>
  <c r="AW42" i="6"/>
  <c r="AY35" i="6"/>
  <c r="AW35" i="6"/>
  <c r="AS105" i="6"/>
  <c r="AY105" i="6"/>
  <c r="AW116" i="6"/>
  <c r="AY78" i="6"/>
  <c r="AW78" i="6"/>
  <c r="AS110" i="6"/>
  <c r="AW18" i="6"/>
  <c r="AY36" i="6"/>
  <c r="AW80" i="6"/>
  <c r="AY16" i="6"/>
  <c r="AY114" i="6"/>
  <c r="AY116" i="6"/>
  <c r="AY108" i="6"/>
  <c r="AY17" i="6"/>
  <c r="AW17" i="6"/>
  <c r="AS17" i="6"/>
  <c r="AW68" i="6"/>
  <c r="AS68" i="6"/>
  <c r="AY68" i="6"/>
  <c r="AY111" i="6"/>
  <c r="AW111" i="6"/>
  <c r="AW122" i="6"/>
  <c r="AS122" i="6"/>
  <c r="AY122" i="6"/>
  <c r="AY49" i="6"/>
  <c r="AW49" i="6"/>
  <c r="AS49" i="6"/>
  <c r="AY87" i="6"/>
  <c r="AW87" i="6"/>
  <c r="AW109" i="6"/>
  <c r="AY109" i="6"/>
  <c r="AS109" i="6"/>
  <c r="AW61" i="6"/>
  <c r="AY61" i="6"/>
  <c r="AY75" i="6"/>
  <c r="AW75" i="6"/>
  <c r="AS75" i="6"/>
  <c r="AW121" i="6"/>
  <c r="AS121" i="6"/>
  <c r="AY121" i="6"/>
  <c r="AW56" i="6"/>
  <c r="AY56" i="6"/>
  <c r="AS56" i="6"/>
  <c r="AY96" i="6"/>
  <c r="AW96" i="6"/>
  <c r="AS96" i="6"/>
  <c r="AW64" i="6"/>
  <c r="AW113" i="6"/>
  <c r="AY92" i="6"/>
  <c r="AY113" i="6"/>
  <c r="AS64" i="6"/>
  <c r="AS61" i="6"/>
  <c r="AS87" i="6"/>
  <c r="AS111" i="6"/>
  <c r="AW47" i="6"/>
  <c r="AW92" i="6"/>
  <c r="AY47" i="6"/>
  <c r="AE103" i="2"/>
  <c r="AE9" i="2"/>
  <c r="AK724" i="2"/>
  <c r="AG724" i="2"/>
  <c r="AY83" i="6" l="1"/>
  <c r="AU83" i="6"/>
  <c r="AY29" i="6"/>
  <c r="AU29" i="6"/>
  <c r="AY69" i="6"/>
  <c r="AW21" i="6"/>
  <c r="AY73" i="6"/>
  <c r="AW73" i="6"/>
  <c r="AU44" i="6"/>
  <c r="AY91" i="6"/>
  <c r="AY115" i="6"/>
  <c r="AW115" i="6"/>
  <c r="AY80" i="6"/>
  <c r="AY85" i="6"/>
  <c r="AU103" i="6"/>
  <c r="AM110" i="6"/>
  <c r="AY55" i="6"/>
  <c r="AU85" i="6"/>
  <c r="AY86" i="6"/>
  <c r="AW86" i="6"/>
  <c r="AW103" i="6"/>
  <c r="AY27" i="6"/>
  <c r="AU115" i="6"/>
  <c r="AY46" i="6"/>
  <c r="AW46" i="6"/>
  <c r="AY123" i="6"/>
  <c r="AW123" i="6"/>
  <c r="AS46" i="6"/>
  <c r="AS123" i="6"/>
  <c r="AS11" i="6"/>
  <c r="AY11" i="6"/>
  <c r="AU11" i="6"/>
  <c r="AW11" i="6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E19" i="2"/>
  <c r="AE20" i="2"/>
  <c r="AE21" i="2"/>
  <c r="AE22" i="2"/>
  <c r="AE24" i="2"/>
  <c r="AE25" i="2"/>
  <c r="AE26" i="2"/>
  <c r="AE29" i="2"/>
  <c r="AE30" i="2"/>
  <c r="AE31" i="2"/>
  <c r="AE32" i="2"/>
  <c r="AE33" i="2"/>
  <c r="AE34" i="2"/>
  <c r="AE35" i="2"/>
  <c r="AE36" i="2"/>
  <c r="AE37" i="2"/>
  <c r="AE38" i="2"/>
  <c r="AE39" i="2"/>
  <c r="AE41" i="2"/>
  <c r="AE42" i="2"/>
  <c r="AE44" i="2"/>
  <c r="AE45" i="2"/>
  <c r="AE46" i="2"/>
  <c r="AE47" i="2"/>
  <c r="AE49" i="2"/>
  <c r="AE51" i="2"/>
  <c r="AE52" i="2"/>
  <c r="AE53" i="2"/>
  <c r="AE54" i="2"/>
  <c r="AE55" i="2"/>
  <c r="AE56" i="2"/>
  <c r="AE57" i="2"/>
  <c r="AE58" i="2"/>
  <c r="AE59" i="2"/>
  <c r="AE60" i="2"/>
  <c r="AE61" i="2"/>
  <c r="AE63" i="2"/>
  <c r="AE64" i="2"/>
  <c r="AE65" i="2"/>
  <c r="AE66" i="2"/>
  <c r="AE67" i="2"/>
  <c r="AE68" i="2"/>
  <c r="AE69" i="2"/>
  <c r="AE70" i="2"/>
  <c r="AE71" i="2"/>
  <c r="AE72" i="2"/>
  <c r="AE73" i="2"/>
  <c r="AE77" i="2"/>
  <c r="AE78" i="2"/>
  <c r="AE79" i="2"/>
  <c r="AE80" i="2"/>
  <c r="AE81" i="2"/>
  <c r="AE82" i="2"/>
  <c r="AE83" i="2"/>
  <c r="AE84" i="2"/>
  <c r="AE86" i="2"/>
  <c r="AE87" i="2"/>
  <c r="AE88" i="2"/>
  <c r="AE89" i="2"/>
  <c r="AE91" i="2"/>
  <c r="AE92" i="2"/>
  <c r="AE93" i="2"/>
  <c r="AE94" i="2"/>
  <c r="AE95" i="2"/>
  <c r="AE96" i="2"/>
  <c r="AE97" i="2"/>
  <c r="AE98" i="2"/>
  <c r="AE99" i="2"/>
  <c r="AE100" i="2"/>
  <c r="AE101" i="2"/>
  <c r="AE104" i="2"/>
  <c r="AE105" i="2"/>
  <c r="AE106" i="2"/>
  <c r="AE107" i="2"/>
  <c r="AE108" i="2"/>
  <c r="AE109" i="2"/>
  <c r="AE110" i="2"/>
  <c r="AE111" i="2"/>
  <c r="AE113" i="2"/>
  <c r="AE114" i="2"/>
  <c r="AE115" i="2"/>
  <c r="AE116" i="2"/>
  <c r="AE117" i="2"/>
  <c r="AE118" i="2"/>
  <c r="AE119" i="2"/>
  <c r="AE120" i="2"/>
  <c r="AE121" i="2"/>
  <c r="AE123" i="2"/>
  <c r="AE124" i="2"/>
  <c r="AE125" i="2"/>
  <c r="AE126" i="2"/>
  <c r="AE127" i="2"/>
  <c r="AE129" i="2"/>
  <c r="AE130" i="2"/>
  <c r="AE131" i="2"/>
  <c r="AE132" i="2"/>
  <c r="AE133" i="2"/>
  <c r="AE135" i="2"/>
  <c r="AE136" i="2"/>
  <c r="AE137" i="2"/>
  <c r="AE138" i="2"/>
  <c r="AE139" i="2"/>
  <c r="AE140" i="2"/>
  <c r="AE142" i="2"/>
  <c r="AE143" i="2"/>
  <c r="AE144" i="2"/>
  <c r="AE145" i="2"/>
  <c r="AE146" i="2"/>
  <c r="AE147" i="2"/>
  <c r="AE152" i="2"/>
  <c r="AE153" i="2"/>
  <c r="AE154" i="2"/>
  <c r="AE155" i="2"/>
  <c r="AE156" i="2"/>
  <c r="AE157" i="2"/>
  <c r="AE158" i="2"/>
  <c r="AE159" i="2"/>
  <c r="AE162" i="2"/>
  <c r="AE163" i="2"/>
  <c r="AE164" i="2"/>
  <c r="AE167" i="2"/>
  <c r="AE168" i="2"/>
  <c r="AE169" i="2"/>
  <c r="AE170" i="2"/>
  <c r="AE171" i="2"/>
  <c r="AE172" i="2"/>
  <c r="AE173" i="2"/>
  <c r="AE174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2" i="2"/>
  <c r="AE203" i="2"/>
  <c r="AE204" i="2"/>
  <c r="AE205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3" i="2"/>
  <c r="AE224" i="2"/>
  <c r="AE225" i="2"/>
  <c r="AE226" i="2"/>
  <c r="AE227" i="2"/>
  <c r="AE230" i="2"/>
  <c r="AE231" i="2"/>
  <c r="AE233" i="2"/>
  <c r="AE234" i="2"/>
  <c r="AE235" i="2"/>
  <c r="AE236" i="2"/>
  <c r="AE237" i="2"/>
  <c r="AE238" i="2"/>
  <c r="AE239" i="2"/>
  <c r="AE240" i="2"/>
  <c r="AE241" i="2"/>
  <c r="AE243" i="2"/>
  <c r="AE244" i="2"/>
  <c r="AE245" i="2"/>
  <c r="AE246" i="2"/>
  <c r="AE248" i="2"/>
  <c r="AE249" i="2"/>
  <c r="AE250" i="2"/>
  <c r="AE251" i="2"/>
  <c r="AE254" i="2"/>
  <c r="AE255" i="2"/>
  <c r="AE257" i="2"/>
  <c r="AE258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7" i="2"/>
  <c r="AE278" i="2"/>
  <c r="AE279" i="2"/>
  <c r="AE280" i="2"/>
  <c r="AE281" i="2"/>
  <c r="AE282" i="2"/>
  <c r="AE283" i="2"/>
  <c r="AE286" i="2"/>
  <c r="AE288" i="2"/>
  <c r="AE289" i="2"/>
  <c r="AE291" i="2"/>
  <c r="AE297" i="2"/>
  <c r="AE298" i="2"/>
  <c r="AE299" i="2"/>
  <c r="AE300" i="2"/>
  <c r="AE301" i="2"/>
  <c r="AE302" i="2"/>
  <c r="AE303" i="2"/>
  <c r="AE304" i="2"/>
  <c r="AE305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9" i="2"/>
  <c r="AE340" i="2"/>
  <c r="AE341" i="2"/>
  <c r="AE342" i="2"/>
  <c r="AE343" i="2"/>
  <c r="AE344" i="2"/>
  <c r="AE345" i="2"/>
  <c r="AE346" i="2"/>
  <c r="AE347" i="2"/>
  <c r="AE348" i="2"/>
  <c r="AE349" i="2"/>
  <c r="AE351" i="2"/>
  <c r="AE353" i="2"/>
  <c r="AE354" i="2"/>
  <c r="AE355" i="2"/>
  <c r="AE356" i="2"/>
  <c r="AE357" i="2"/>
  <c r="AE358" i="2"/>
  <c r="AE359" i="2"/>
  <c r="AE360" i="2"/>
  <c r="AE361" i="2"/>
  <c r="AE365" i="2"/>
  <c r="AE366" i="2"/>
  <c r="AE367" i="2"/>
  <c r="AE369" i="2"/>
  <c r="AE370" i="2"/>
  <c r="AE371" i="2"/>
  <c r="AE372" i="2"/>
  <c r="AE373" i="2"/>
  <c r="AE374" i="2"/>
  <c r="AE375" i="2"/>
  <c r="AE376" i="2"/>
  <c r="AE377" i="2"/>
  <c r="AE378" i="2"/>
  <c r="AE379" i="2"/>
  <c r="AE381" i="2"/>
  <c r="AE382" i="2"/>
  <c r="AE383" i="2"/>
  <c r="AE384" i="2"/>
  <c r="AE385" i="2"/>
  <c r="AE386" i="2"/>
  <c r="AE387" i="2"/>
  <c r="AE389" i="2"/>
  <c r="AE390" i="2"/>
  <c r="AE392" i="2"/>
  <c r="AE393" i="2"/>
  <c r="AE394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5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2" i="2"/>
  <c r="AE473" i="2"/>
  <c r="AE474" i="2"/>
  <c r="AE475" i="2"/>
  <c r="AE476" i="2"/>
  <c r="AE477" i="2"/>
  <c r="AE478" i="2"/>
  <c r="AE479" i="2"/>
  <c r="AE480" i="2"/>
  <c r="AE481" i="2"/>
  <c r="AE482" i="2"/>
  <c r="AE484" i="2"/>
  <c r="AE485" i="2"/>
  <c r="AE486" i="2"/>
  <c r="AE487" i="2"/>
  <c r="AE488" i="2"/>
  <c r="AE490" i="2"/>
  <c r="AE491" i="2"/>
  <c r="AE492" i="2"/>
  <c r="AE493" i="2"/>
  <c r="AE494" i="2"/>
  <c r="AE495" i="2"/>
  <c r="AE496" i="2"/>
  <c r="AE497" i="2"/>
  <c r="AE498" i="2"/>
  <c r="AE500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3" i="2"/>
  <c r="AE624" i="2"/>
  <c r="AE625" i="2"/>
  <c r="AE626" i="2"/>
  <c r="AE627" i="2"/>
  <c r="AE628" i="2"/>
  <c r="AE629" i="2"/>
  <c r="AE630" i="2"/>
  <c r="AE632" i="2"/>
  <c r="AE633" i="2"/>
  <c r="AE634" i="2"/>
  <c r="AE635" i="2"/>
  <c r="AE636" i="2"/>
  <c r="AE638" i="2"/>
  <c r="AE639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9" i="2"/>
  <c r="AE713" i="2"/>
  <c r="AE714" i="2"/>
  <c r="AE715" i="2"/>
  <c r="AE716" i="2"/>
  <c r="AE717" i="2"/>
  <c r="AE718" i="2"/>
  <c r="AE719" i="2"/>
  <c r="AE720" i="2"/>
  <c r="AE721" i="2"/>
  <c r="AE722" i="2"/>
  <c r="AE723" i="2"/>
  <c r="AE725" i="2"/>
  <c r="AE726" i="2"/>
  <c r="AE727" i="2"/>
  <c r="AE10" i="2"/>
  <c r="AE11" i="2"/>
  <c r="AE12" i="2"/>
  <c r="AE13" i="2"/>
  <c r="AE14" i="2"/>
  <c r="AE15" i="2"/>
  <c r="AE16" i="2"/>
  <c r="AE17" i="2"/>
  <c r="AE18" i="2"/>
  <c r="AI726" i="2"/>
  <c r="E724" i="2"/>
  <c r="AE724" i="2" s="1"/>
  <c r="AK723" i="2"/>
  <c r="AI723" i="2" s="1"/>
  <c r="AI719" i="2"/>
  <c r="AK708" i="2"/>
  <c r="AG708" i="2"/>
  <c r="Q708" i="2"/>
  <c r="E708" i="2"/>
  <c r="AI691" i="2"/>
  <c r="E691" i="2"/>
  <c r="AE691" i="2" s="1"/>
  <c r="AI679" i="2"/>
  <c r="AK666" i="2"/>
  <c r="AI666" i="2"/>
  <c r="AG665" i="2"/>
  <c r="AI665" i="2" s="1"/>
  <c r="AK658" i="2"/>
  <c r="AI658" i="2"/>
  <c r="AG658" i="2"/>
  <c r="Q658" i="2"/>
  <c r="K658" i="2"/>
  <c r="E658" i="2"/>
  <c r="AI637" i="2"/>
  <c r="U637" i="2"/>
  <c r="AE637" i="2" s="1"/>
  <c r="AK631" i="2"/>
  <c r="AI631" i="2"/>
  <c r="S631" i="2"/>
  <c r="Q631" i="2"/>
  <c r="AI623" i="2"/>
  <c r="AI622" i="2"/>
  <c r="Q622" i="2"/>
  <c r="AE622" i="2" s="1"/>
  <c r="AK605" i="2"/>
  <c r="AK604" i="2"/>
  <c r="AI604" i="2"/>
  <c r="AG604" i="2"/>
  <c r="AI590" i="2"/>
  <c r="AK589" i="2"/>
  <c r="AI584" i="2"/>
  <c r="AK567" i="2"/>
  <c r="AI567" i="2" s="1"/>
  <c r="O535" i="2"/>
  <c r="M535" i="2"/>
  <c r="W520" i="2"/>
  <c r="AE520" i="2" s="1"/>
  <c r="AK512" i="2"/>
  <c r="AI512" i="2"/>
  <c r="AG512" i="2"/>
  <c r="AK499" i="2"/>
  <c r="AI499" i="2"/>
  <c r="AG499" i="2"/>
  <c r="Y499" i="2"/>
  <c r="U499" i="2"/>
  <c r="O499" i="2"/>
  <c r="AI498" i="2"/>
  <c r="AC489" i="2"/>
  <c r="AE489" i="2" s="1"/>
  <c r="AI484" i="2"/>
  <c r="AK483" i="2"/>
  <c r="AI483" i="2"/>
  <c r="AG483" i="2"/>
  <c r="Q483" i="2"/>
  <c r="AE483" i="2" s="1"/>
  <c r="Q471" i="2"/>
  <c r="AE471" i="2" s="1"/>
  <c r="Q457" i="2"/>
  <c r="AE457" i="2" s="1"/>
  <c r="AI437" i="2"/>
  <c r="U437" i="2"/>
  <c r="O437" i="2"/>
  <c r="AK436" i="2"/>
  <c r="AI436" i="2"/>
  <c r="AG436" i="2"/>
  <c r="E436" i="2"/>
  <c r="AE436" i="2" s="1"/>
  <c r="AK419" i="2"/>
  <c r="Q419" i="2"/>
  <c r="AE419" i="2" s="1"/>
  <c r="Q395" i="2"/>
  <c r="AE395" i="2" s="1"/>
  <c r="AK391" i="2"/>
  <c r="AI391" i="2"/>
  <c r="AG391" i="2"/>
  <c r="Q391" i="2"/>
  <c r="O391" i="2"/>
  <c r="M391" i="2"/>
  <c r="E391" i="2"/>
  <c r="AI388" i="2"/>
  <c r="Q388" i="2"/>
  <c r="AE388" i="2" s="1"/>
  <c r="Q380" i="2"/>
  <c r="AE380" i="2" s="1"/>
  <c r="AK368" i="2"/>
  <c r="AI368" i="2"/>
  <c r="AG368" i="2"/>
  <c r="U368" i="2"/>
  <c r="Q368" i="2"/>
  <c r="O368" i="2"/>
  <c r="G368" i="2"/>
  <c r="E368" i="2"/>
  <c r="AI359" i="2"/>
  <c r="AK352" i="2"/>
  <c r="AI352" i="2"/>
  <c r="AG352" i="2"/>
  <c r="S352" i="2"/>
  <c r="Q352" i="2"/>
  <c r="O352" i="2"/>
  <c r="E352" i="2"/>
  <c r="AI350" i="2"/>
  <c r="AG350" i="2"/>
  <c r="U350" i="2"/>
  <c r="Q350" i="2"/>
  <c r="G350" i="2"/>
  <c r="AK341" i="2"/>
  <c r="Q338" i="2"/>
  <c r="AE338" i="2" s="1"/>
  <c r="AI318" i="2"/>
  <c r="AI316" i="2"/>
  <c r="AI307" i="2"/>
  <c r="Q307" i="2"/>
  <c r="AE307" i="2" s="1"/>
  <c r="AK306" i="2"/>
  <c r="AI306" i="2" s="1"/>
  <c r="Q306" i="2"/>
  <c r="AE306" i="2" s="1"/>
  <c r="AI304" i="2"/>
  <c r="AK296" i="2"/>
  <c r="AI296" i="2"/>
  <c r="AG296" i="2"/>
  <c r="E296" i="2"/>
  <c r="AE296" i="2" s="1"/>
  <c r="Q292" i="2"/>
  <c r="AE292" i="2" s="1"/>
  <c r="Q290" i="2"/>
  <c r="AE290" i="2" s="1"/>
  <c r="Q287" i="2"/>
  <c r="AE287" i="2" s="1"/>
  <c r="Q285" i="2"/>
  <c r="AE285" i="2" s="1"/>
  <c r="AC284" i="2"/>
  <c r="K284" i="2"/>
  <c r="Q276" i="2"/>
  <c r="AE276" i="2" s="1"/>
  <c r="AI275" i="2"/>
  <c r="Q275" i="2"/>
  <c r="AE275" i="2" s="1"/>
  <c r="AG263" i="2"/>
  <c r="AI263" i="2" s="1"/>
  <c r="AK259" i="2"/>
  <c r="AI259" i="2"/>
  <c r="AG259" i="2"/>
  <c r="G259" i="2"/>
  <c r="AE259" i="2" s="1"/>
  <c r="Q256" i="2"/>
  <c r="AE256" i="2" s="1"/>
  <c r="AK254" i="2"/>
  <c r="AI254" i="2"/>
  <c r="AG254" i="2"/>
  <c r="AK253" i="2"/>
  <c r="AI253" i="2"/>
  <c r="Q253" i="2"/>
  <c r="AE253" i="2" s="1"/>
  <c r="AK252" i="2"/>
  <c r="AI252" i="2"/>
  <c r="AG252" i="2"/>
  <c r="Q252" i="2"/>
  <c r="AE252" i="2" s="1"/>
  <c r="AK247" i="2"/>
  <c r="AG247" i="2"/>
  <c r="U247" i="2"/>
  <c r="S247" i="2"/>
  <c r="Q247" i="2"/>
  <c r="O247" i="2"/>
  <c r="M247" i="2"/>
  <c r="E247" i="2"/>
  <c r="AI243" i="2"/>
  <c r="AG242" i="2"/>
  <c r="AI242" i="2" s="1"/>
  <c r="Q242" i="2"/>
  <c r="AE242" i="2" s="1"/>
  <c r="Q232" i="2"/>
  <c r="AE232" i="2" s="1"/>
  <c r="AI231" i="2"/>
  <c r="Q229" i="2"/>
  <c r="AE229" i="2" s="1"/>
  <c r="Q228" i="2"/>
  <c r="E228" i="2"/>
  <c r="Q206" i="2"/>
  <c r="AE206" i="2" s="1"/>
  <c r="Q201" i="2"/>
  <c r="AE201" i="2" s="1"/>
  <c r="AC200" i="2"/>
  <c r="Q200" i="2"/>
  <c r="AI189" i="2"/>
  <c r="Q175" i="2"/>
  <c r="AE175" i="2" s="1"/>
  <c r="AI174" i="2"/>
  <c r="AC166" i="2"/>
  <c r="AE166" i="2" s="1"/>
  <c r="AK165" i="2"/>
  <c r="AI165" i="2" s="1"/>
  <c r="S165" i="2"/>
  <c r="Q165" i="2"/>
  <c r="O165" i="2"/>
  <c r="E165" i="2"/>
  <c r="AG161" i="2"/>
  <c r="W161" i="2"/>
  <c r="U161" i="2"/>
  <c r="S161" i="2"/>
  <c r="E161" i="2"/>
  <c r="Q160" i="2"/>
  <c r="AE160" i="2" s="1"/>
  <c r="AK151" i="2"/>
  <c r="AI151" i="2" s="1"/>
  <c r="W151" i="2"/>
  <c r="U151" i="2"/>
  <c r="Q151" i="2"/>
  <c r="O151" i="2"/>
  <c r="M151" i="2"/>
  <c r="I151" i="2"/>
  <c r="E151" i="2"/>
  <c r="Q141" i="2"/>
  <c r="AE141" i="2" s="1"/>
  <c r="AK134" i="2"/>
  <c r="AI134" i="2" s="1"/>
  <c r="AG134" i="2"/>
  <c r="Q134" i="2"/>
  <c r="AE134" i="2" s="1"/>
  <c r="AK128" i="2"/>
  <c r="AI128" i="2"/>
  <c r="AG128" i="2"/>
  <c r="M128" i="2"/>
  <c r="AE128" i="2" s="1"/>
  <c r="AK126" i="2"/>
  <c r="AI126" i="2"/>
  <c r="AG126" i="2"/>
  <c r="Q122" i="2"/>
  <c r="AE122" i="2" s="1"/>
  <c r="AC112" i="2"/>
  <c r="AE112" i="2" s="1"/>
  <c r="AC102" i="2"/>
  <c r="AE102" i="2" s="1"/>
  <c r="AC90" i="2"/>
  <c r="AE90" i="2" s="1"/>
  <c r="AI86" i="2"/>
  <c r="AK85" i="2"/>
  <c r="AI85" i="2"/>
  <c r="AG85" i="2"/>
  <c r="Q85" i="2"/>
  <c r="E85" i="2"/>
  <c r="AG62" i="2"/>
  <c r="Q62" i="2"/>
  <c r="M62" i="2"/>
  <c r="I62" i="2"/>
  <c r="E62" i="2"/>
  <c r="AC50" i="2"/>
  <c r="AE50" i="2" s="1"/>
  <c r="AK48" i="2"/>
  <c r="AI48" i="2"/>
  <c r="AG48" i="2"/>
  <c r="Q48" i="2"/>
  <c r="AE48" i="2" s="1"/>
  <c r="AC43" i="2"/>
  <c r="AE43" i="2" s="1"/>
  <c r="Q40" i="2"/>
  <c r="AE40" i="2" s="1"/>
  <c r="AG38" i="2"/>
  <c r="AI38" i="2" s="1"/>
  <c r="AC28" i="2"/>
  <c r="AE28" i="2" s="1"/>
  <c r="Q27" i="2"/>
  <c r="AE27" i="2" s="1"/>
  <c r="AK23" i="2"/>
  <c r="AI23" i="2"/>
  <c r="AG23" i="2"/>
  <c r="S23" i="2"/>
  <c r="Q23" i="2"/>
  <c r="E23" i="2"/>
  <c r="AK11" i="2"/>
  <c r="AI11" i="2"/>
  <c r="AG11" i="2"/>
  <c r="AO491" i="2" l="1"/>
  <c r="AO487" i="2"/>
  <c r="AO483" i="2"/>
  <c r="AO479" i="2"/>
  <c r="AO475" i="2"/>
  <c r="AO471" i="2"/>
  <c r="AO467" i="2"/>
  <c r="AO463" i="2"/>
  <c r="AO459" i="2"/>
  <c r="AO455" i="2"/>
  <c r="AO451" i="2"/>
  <c r="AO447" i="2"/>
  <c r="AO443" i="2"/>
  <c r="AO439" i="2"/>
  <c r="AO435" i="2"/>
  <c r="AO428" i="2"/>
  <c r="AO424" i="2"/>
  <c r="AO420" i="2"/>
  <c r="AO725" i="2"/>
  <c r="AO721" i="2"/>
  <c r="AO717" i="2"/>
  <c r="AO713" i="2"/>
  <c r="AO706" i="2"/>
  <c r="AO702" i="2"/>
  <c r="AO698" i="2"/>
  <c r="AO694" i="2"/>
  <c r="AO690" i="2"/>
  <c r="AO686" i="2"/>
  <c r="AO682" i="2"/>
  <c r="AO678" i="2"/>
  <c r="AO674" i="2"/>
  <c r="AO670" i="2"/>
  <c r="AO666" i="2"/>
  <c r="AO662" i="2"/>
  <c r="AO658" i="2"/>
  <c r="AO654" i="2"/>
  <c r="AO650" i="2"/>
  <c r="AO646" i="2"/>
  <c r="AO639" i="2"/>
  <c r="AO635" i="2"/>
  <c r="AO631" i="2"/>
  <c r="AO627" i="2"/>
  <c r="AO623" i="2"/>
  <c r="AO619" i="2"/>
  <c r="AO615" i="2"/>
  <c r="AO611" i="2"/>
  <c r="AO607" i="2"/>
  <c r="AO603" i="2"/>
  <c r="AO599" i="2"/>
  <c r="AO595" i="2"/>
  <c r="AO591" i="2"/>
  <c r="AO587" i="2"/>
  <c r="AO583" i="2"/>
  <c r="AO579" i="2"/>
  <c r="AO575" i="2"/>
  <c r="AO568" i="2"/>
  <c r="AO564" i="2"/>
  <c r="AO560" i="2"/>
  <c r="AO556" i="2"/>
  <c r="AO552" i="2"/>
  <c r="AO548" i="2"/>
  <c r="AO544" i="2"/>
  <c r="AO540" i="2"/>
  <c r="AO536" i="2"/>
  <c r="AO532" i="2"/>
  <c r="AO528" i="2"/>
  <c r="AO524" i="2"/>
  <c r="AO520" i="2"/>
  <c r="AO516" i="2"/>
  <c r="AO512" i="2"/>
  <c r="AO508" i="2"/>
  <c r="AO504" i="2"/>
  <c r="AO497" i="2"/>
  <c r="AO493" i="2"/>
  <c r="AO110" i="6"/>
  <c r="AY110" i="6" s="1"/>
  <c r="AW110" i="6"/>
  <c r="AO724" i="2"/>
  <c r="AO720" i="2"/>
  <c r="AO716" i="2"/>
  <c r="AO709" i="2"/>
  <c r="AO705" i="2"/>
  <c r="AO701" i="2"/>
  <c r="AO697" i="2"/>
  <c r="AO693" i="2"/>
  <c r="AO689" i="2"/>
  <c r="AO685" i="2"/>
  <c r="AO681" i="2"/>
  <c r="AO677" i="2"/>
  <c r="AO673" i="2"/>
  <c r="AO671" i="2"/>
  <c r="AO667" i="2"/>
  <c r="AO663" i="2"/>
  <c r="AO659" i="2"/>
  <c r="AO655" i="2"/>
  <c r="AO651" i="2"/>
  <c r="AO647" i="2"/>
  <c r="AO643" i="2"/>
  <c r="AO636" i="2"/>
  <c r="AO632" i="2"/>
  <c r="AO628" i="2"/>
  <c r="AO624" i="2"/>
  <c r="AO620" i="2"/>
  <c r="AO616" i="2"/>
  <c r="AO612" i="2"/>
  <c r="AO608" i="2"/>
  <c r="AO604" i="2"/>
  <c r="AO600" i="2"/>
  <c r="AO596" i="2"/>
  <c r="AO592" i="2"/>
  <c r="AO588" i="2"/>
  <c r="AO584" i="2"/>
  <c r="AO580" i="2"/>
  <c r="AO576" i="2"/>
  <c r="AO569" i="2"/>
  <c r="AO565" i="2"/>
  <c r="AO561" i="2"/>
  <c r="AO557" i="2"/>
  <c r="AO553" i="2"/>
  <c r="AO549" i="2"/>
  <c r="AO545" i="2"/>
  <c r="AO541" i="2"/>
  <c r="AO537" i="2"/>
  <c r="AO533" i="2"/>
  <c r="AO529" i="2"/>
  <c r="AO525" i="2"/>
  <c r="AO521" i="2"/>
  <c r="AO517" i="2"/>
  <c r="AO513" i="2"/>
  <c r="AO509" i="2"/>
  <c r="AO505" i="2"/>
  <c r="AO498" i="2"/>
  <c r="AO494" i="2"/>
  <c r="AO490" i="2"/>
  <c r="AO486" i="2"/>
  <c r="AO482" i="2"/>
  <c r="AO478" i="2"/>
  <c r="AO474" i="2"/>
  <c r="AO470" i="2"/>
  <c r="AO466" i="2"/>
  <c r="AO462" i="2"/>
  <c r="AO458" i="2"/>
  <c r="AO454" i="2"/>
  <c r="AO450" i="2"/>
  <c r="AO446" i="2"/>
  <c r="AO442" i="2"/>
  <c r="AO415" i="2"/>
  <c r="AO411" i="2"/>
  <c r="AO407" i="2"/>
  <c r="AO403" i="2"/>
  <c r="AO399" i="2"/>
  <c r="AO395" i="2"/>
  <c r="AO391" i="2"/>
  <c r="AO387" i="2"/>
  <c r="AO383" i="2"/>
  <c r="AO379" i="2"/>
  <c r="AO375" i="2"/>
  <c r="AO371" i="2"/>
  <c r="AO367" i="2"/>
  <c r="AO360" i="2"/>
  <c r="AO356" i="2"/>
  <c r="AO352" i="2"/>
  <c r="AO348" i="2"/>
  <c r="AO344" i="2"/>
  <c r="AO340" i="2"/>
  <c r="AO336" i="2"/>
  <c r="AO332" i="2"/>
  <c r="AO328" i="2"/>
  <c r="AO324" i="2"/>
  <c r="AO320" i="2"/>
  <c r="AO316" i="2"/>
  <c r="AO312" i="2"/>
  <c r="AO308" i="2"/>
  <c r="AO304" i="2"/>
  <c r="AO300" i="2"/>
  <c r="AO296" i="2"/>
  <c r="AO289" i="2"/>
  <c r="AO285" i="2"/>
  <c r="AO281" i="2"/>
  <c r="AO277" i="2"/>
  <c r="AO273" i="2"/>
  <c r="AO269" i="2"/>
  <c r="AO265" i="2"/>
  <c r="AO261" i="2"/>
  <c r="AO257" i="2"/>
  <c r="AO253" i="2"/>
  <c r="AO249" i="2"/>
  <c r="AO245" i="2"/>
  <c r="AO241" i="2"/>
  <c r="AO237" i="2"/>
  <c r="AO233" i="2"/>
  <c r="AO229" i="2"/>
  <c r="AO225" i="2"/>
  <c r="AO218" i="2"/>
  <c r="AO214" i="2"/>
  <c r="AO210" i="2"/>
  <c r="AO206" i="2"/>
  <c r="AO202" i="2"/>
  <c r="AO198" i="2"/>
  <c r="AO194" i="2"/>
  <c r="AO190" i="2"/>
  <c r="AO186" i="2"/>
  <c r="AO182" i="2"/>
  <c r="AO178" i="2"/>
  <c r="AO174" i="2"/>
  <c r="AO170" i="2"/>
  <c r="AO166" i="2"/>
  <c r="AO162" i="2"/>
  <c r="AO158" i="2"/>
  <c r="AO154" i="2"/>
  <c r="AO147" i="2"/>
  <c r="AO143" i="2"/>
  <c r="AO139" i="2"/>
  <c r="AO135" i="2"/>
  <c r="AO131" i="2"/>
  <c r="AO127" i="2"/>
  <c r="AO123" i="2"/>
  <c r="AO119" i="2"/>
  <c r="AO115" i="2"/>
  <c r="AO111" i="2"/>
  <c r="AO107" i="2"/>
  <c r="AO103" i="2"/>
  <c r="AO99" i="2"/>
  <c r="AO95" i="2"/>
  <c r="AO91" i="2"/>
  <c r="AO87" i="2"/>
  <c r="AO83" i="2"/>
  <c r="AO79" i="2"/>
  <c r="AO72" i="2"/>
  <c r="AO68" i="2"/>
  <c r="AO64" i="2"/>
  <c r="AO60" i="2"/>
  <c r="AO56" i="2"/>
  <c r="AO52" i="2"/>
  <c r="AO48" i="2"/>
  <c r="AO44" i="2"/>
  <c r="AO40" i="2"/>
  <c r="AO36" i="2"/>
  <c r="AO32" i="2"/>
  <c r="AO28" i="2"/>
  <c r="AO24" i="2"/>
  <c r="AO20" i="2"/>
  <c r="AO16" i="2"/>
  <c r="AO12" i="2"/>
  <c r="AO727" i="2"/>
  <c r="AO719" i="2"/>
  <c r="AO708" i="2"/>
  <c r="AO700" i="2"/>
  <c r="AO692" i="2"/>
  <c r="AO684" i="2"/>
  <c r="AO676" i="2"/>
  <c r="AO669" i="2"/>
  <c r="AO657" i="2"/>
  <c r="AO649" i="2"/>
  <c r="AO638" i="2"/>
  <c r="AO630" i="2"/>
  <c r="AO622" i="2"/>
  <c r="AO614" i="2"/>
  <c r="AO606" i="2"/>
  <c r="AO598" i="2"/>
  <c r="AO590" i="2"/>
  <c r="AO582" i="2"/>
  <c r="AO571" i="2"/>
  <c r="AO563" i="2"/>
  <c r="AO555" i="2"/>
  <c r="AO547" i="2"/>
  <c r="AO539" i="2"/>
  <c r="AO531" i="2"/>
  <c r="AO523" i="2"/>
  <c r="AO515" i="2"/>
  <c r="AO507" i="2"/>
  <c r="AO496" i="2"/>
  <c r="AO489" i="2"/>
  <c r="AO481" i="2"/>
  <c r="AO473" i="2"/>
  <c r="AO469" i="2"/>
  <c r="AO461" i="2"/>
  <c r="AO453" i="2"/>
  <c r="AO445" i="2"/>
  <c r="AO437" i="2"/>
  <c r="AO426" i="2"/>
  <c r="AO414" i="2"/>
  <c r="AO406" i="2"/>
  <c r="AO398" i="2"/>
  <c r="AO390" i="2"/>
  <c r="AO382" i="2"/>
  <c r="AO378" i="2"/>
  <c r="AO370" i="2"/>
  <c r="AO205" i="2"/>
  <c r="AO723" i="2"/>
  <c r="AO715" i="2"/>
  <c r="AO704" i="2"/>
  <c r="AO696" i="2"/>
  <c r="AO688" i="2"/>
  <c r="AO680" i="2"/>
  <c r="AO665" i="2"/>
  <c r="AO661" i="2"/>
  <c r="AO653" i="2"/>
  <c r="AO645" i="2"/>
  <c r="AO634" i="2"/>
  <c r="AO626" i="2"/>
  <c r="AO618" i="2"/>
  <c r="AO610" i="2"/>
  <c r="AO602" i="2"/>
  <c r="AO594" i="2"/>
  <c r="AO586" i="2"/>
  <c r="AO578" i="2"/>
  <c r="AO567" i="2"/>
  <c r="AO559" i="2"/>
  <c r="AO551" i="2"/>
  <c r="AO543" i="2"/>
  <c r="AO535" i="2"/>
  <c r="AO527" i="2"/>
  <c r="AO519" i="2"/>
  <c r="AO511" i="2"/>
  <c r="AO500" i="2"/>
  <c r="AO492" i="2"/>
  <c r="AO485" i="2"/>
  <c r="AO477" i="2"/>
  <c r="AO465" i="2"/>
  <c r="AO457" i="2"/>
  <c r="AO449" i="2"/>
  <c r="AO441" i="2"/>
  <c r="AO430" i="2"/>
  <c r="AO422" i="2"/>
  <c r="AO418" i="2"/>
  <c r="AO410" i="2"/>
  <c r="AO402" i="2"/>
  <c r="AO394" i="2"/>
  <c r="AO386" i="2"/>
  <c r="AO374" i="2"/>
  <c r="AO366" i="2"/>
  <c r="AO726" i="2"/>
  <c r="AO722" i="2"/>
  <c r="AO718" i="2"/>
  <c r="AO714" i="2"/>
  <c r="AO707" i="2"/>
  <c r="AO703" i="2"/>
  <c r="AO699" i="2"/>
  <c r="AO695" i="2"/>
  <c r="AO691" i="2"/>
  <c r="AO687" i="2"/>
  <c r="AO683" i="2"/>
  <c r="AO679" i="2"/>
  <c r="AO675" i="2"/>
  <c r="AO672" i="2"/>
  <c r="AO668" i="2"/>
  <c r="AO664" i="2"/>
  <c r="AO660" i="2"/>
  <c r="AO656" i="2"/>
  <c r="AO652" i="2"/>
  <c r="AO648" i="2"/>
  <c r="AO644" i="2"/>
  <c r="AO637" i="2"/>
  <c r="AO633" i="2"/>
  <c r="AO629" i="2"/>
  <c r="AO625" i="2"/>
  <c r="AO621" i="2"/>
  <c r="AO617" i="2"/>
  <c r="AO613" i="2"/>
  <c r="AO609" i="2"/>
  <c r="AO605" i="2"/>
  <c r="AO601" i="2"/>
  <c r="AO597" i="2"/>
  <c r="AO593" i="2"/>
  <c r="AO589" i="2"/>
  <c r="AO585" i="2"/>
  <c r="AO581" i="2"/>
  <c r="AO577" i="2"/>
  <c r="AO570" i="2"/>
  <c r="AO566" i="2"/>
  <c r="AO562" i="2"/>
  <c r="AO558" i="2"/>
  <c r="AO554" i="2"/>
  <c r="AO550" i="2"/>
  <c r="AO546" i="2"/>
  <c r="AO542" i="2"/>
  <c r="AO538" i="2"/>
  <c r="AO534" i="2"/>
  <c r="AO530" i="2"/>
  <c r="AO526" i="2"/>
  <c r="AO522" i="2"/>
  <c r="AO518" i="2"/>
  <c r="AO514" i="2"/>
  <c r="AO510" i="2"/>
  <c r="AO506" i="2"/>
  <c r="AO499" i="2"/>
  <c r="AO495" i="2"/>
  <c r="AO488" i="2"/>
  <c r="AO484" i="2"/>
  <c r="AO480" i="2"/>
  <c r="AO476" i="2"/>
  <c r="AO472" i="2"/>
  <c r="AO468" i="2"/>
  <c r="AO464" i="2"/>
  <c r="AO460" i="2"/>
  <c r="AO456" i="2"/>
  <c r="AO452" i="2"/>
  <c r="AO448" i="2"/>
  <c r="AO444" i="2"/>
  <c r="AO440" i="2"/>
  <c r="AO436" i="2"/>
  <c r="AO429" i="2"/>
  <c r="AO425" i="2"/>
  <c r="AO421" i="2"/>
  <c r="AO417" i="2"/>
  <c r="AO413" i="2"/>
  <c r="AO409" i="2"/>
  <c r="AO405" i="2"/>
  <c r="AO401" i="2"/>
  <c r="AO397" i="2"/>
  <c r="AO393" i="2"/>
  <c r="AO389" i="2"/>
  <c r="AO385" i="2"/>
  <c r="AO381" i="2"/>
  <c r="AO377" i="2"/>
  <c r="AO373" i="2"/>
  <c r="AO369" i="2"/>
  <c r="AO365" i="2"/>
  <c r="AO358" i="2"/>
  <c r="AO354" i="2"/>
  <c r="AO350" i="2"/>
  <c r="AO346" i="2"/>
  <c r="AO342" i="2"/>
  <c r="AO338" i="2"/>
  <c r="AO334" i="2"/>
  <c r="AO54" i="2"/>
  <c r="AE658" i="2"/>
  <c r="AI708" i="2"/>
  <c r="AE350" i="2"/>
  <c r="AE284" i="2"/>
  <c r="AE437" i="2"/>
  <c r="AE499" i="2"/>
  <c r="AE631" i="2"/>
  <c r="AG631" i="2" s="1"/>
  <c r="AO438" i="2"/>
  <c r="AO431" i="2"/>
  <c r="AO427" i="2"/>
  <c r="AO423" i="2"/>
  <c r="AO419" i="2"/>
  <c r="AO416" i="2"/>
  <c r="AO412" i="2"/>
  <c r="AO408" i="2"/>
  <c r="AO404" i="2"/>
  <c r="AO400" i="2"/>
  <c r="AO396" i="2"/>
  <c r="AO392" i="2"/>
  <c r="AO388" i="2"/>
  <c r="AO384" i="2"/>
  <c r="AO380" i="2"/>
  <c r="AO376" i="2"/>
  <c r="AO372" i="2"/>
  <c r="AO368" i="2"/>
  <c r="AO361" i="2"/>
  <c r="AO357" i="2"/>
  <c r="AO353" i="2"/>
  <c r="AO349" i="2"/>
  <c r="AO345" i="2"/>
  <c r="AO329" i="2"/>
  <c r="AO359" i="2"/>
  <c r="AO355" i="2"/>
  <c r="AO351" i="2"/>
  <c r="AO347" i="2"/>
  <c r="AO343" i="2"/>
  <c r="AO339" i="2"/>
  <c r="AO335" i="2"/>
  <c r="AO331" i="2"/>
  <c r="AO327" i="2"/>
  <c r="AO323" i="2"/>
  <c r="AO319" i="2"/>
  <c r="AO315" i="2"/>
  <c r="AO311" i="2"/>
  <c r="AO307" i="2"/>
  <c r="AO303" i="2"/>
  <c r="AO299" i="2"/>
  <c r="AO292" i="2"/>
  <c r="AO288" i="2"/>
  <c r="AO284" i="2"/>
  <c r="AO280" i="2"/>
  <c r="AO276" i="2"/>
  <c r="AO272" i="2"/>
  <c r="AO268" i="2"/>
  <c r="AO264" i="2"/>
  <c r="AO260" i="2"/>
  <c r="AO256" i="2"/>
  <c r="AO252" i="2"/>
  <c r="AO248" i="2"/>
  <c r="AO244" i="2"/>
  <c r="AO240" i="2"/>
  <c r="AO236" i="2"/>
  <c r="AO232" i="2"/>
  <c r="AO228" i="2"/>
  <c r="AO224" i="2"/>
  <c r="AO217" i="2"/>
  <c r="AO213" i="2"/>
  <c r="AO209" i="2"/>
  <c r="AO201" i="2"/>
  <c r="AO197" i="2"/>
  <c r="AO193" i="2"/>
  <c r="AO189" i="2"/>
  <c r="AO185" i="2"/>
  <c r="AO181" i="2"/>
  <c r="AO177" i="2"/>
  <c r="AO173" i="2"/>
  <c r="AO169" i="2"/>
  <c r="AO165" i="2"/>
  <c r="AO161" i="2"/>
  <c r="AO157" i="2"/>
  <c r="AO153" i="2"/>
  <c r="AO146" i="2"/>
  <c r="AO142" i="2"/>
  <c r="AO138" i="2"/>
  <c r="AO134" i="2"/>
  <c r="AO130" i="2"/>
  <c r="AO126" i="2"/>
  <c r="AO122" i="2"/>
  <c r="AO118" i="2"/>
  <c r="AO114" i="2"/>
  <c r="AO110" i="2"/>
  <c r="AO106" i="2"/>
  <c r="AO102" i="2"/>
  <c r="AO98" i="2"/>
  <c r="AO94" i="2"/>
  <c r="AO90" i="2"/>
  <c r="AO86" i="2"/>
  <c r="AO82" i="2"/>
  <c r="AO78" i="2"/>
  <c r="AO71" i="2"/>
  <c r="AO67" i="2"/>
  <c r="AO63" i="2"/>
  <c r="AO59" i="2"/>
  <c r="AO55" i="2"/>
  <c r="AO51" i="2"/>
  <c r="AO47" i="2"/>
  <c r="AO43" i="2"/>
  <c r="AO39" i="2"/>
  <c r="AO35" i="2"/>
  <c r="AO31" i="2"/>
  <c r="AO27" i="2"/>
  <c r="AO23" i="2"/>
  <c r="AO19" i="2"/>
  <c r="AO15" i="2"/>
  <c r="AO11" i="2"/>
  <c r="AO325" i="2"/>
  <c r="AO321" i="2"/>
  <c r="AO317" i="2"/>
  <c r="AO313" i="2"/>
  <c r="AO309" i="2"/>
  <c r="AO305" i="2"/>
  <c r="AO301" i="2"/>
  <c r="AO297" i="2"/>
  <c r="AO290" i="2"/>
  <c r="AO286" i="2"/>
  <c r="AO282" i="2"/>
  <c r="AO278" i="2"/>
  <c r="AO274" i="2"/>
  <c r="AO270" i="2"/>
  <c r="AO266" i="2"/>
  <c r="AO262" i="2"/>
  <c r="AO258" i="2"/>
  <c r="AO254" i="2"/>
  <c r="AO250" i="2"/>
  <c r="AO246" i="2"/>
  <c r="AO242" i="2"/>
  <c r="AO238" i="2"/>
  <c r="AO234" i="2"/>
  <c r="AO230" i="2"/>
  <c r="AO226" i="2"/>
  <c r="AO219" i="2"/>
  <c r="AO215" i="2"/>
  <c r="AO211" i="2"/>
  <c r="AO207" i="2"/>
  <c r="AO203" i="2"/>
  <c r="AO199" i="2"/>
  <c r="AO195" i="2"/>
  <c r="AO191" i="2"/>
  <c r="AO187" i="2"/>
  <c r="AO183" i="2"/>
  <c r="AO179" i="2"/>
  <c r="AO175" i="2"/>
  <c r="AO171" i="2"/>
  <c r="AO167" i="2"/>
  <c r="AO163" i="2"/>
  <c r="AO159" i="2"/>
  <c r="AO155" i="2"/>
  <c r="AO151" i="2"/>
  <c r="AO144" i="2"/>
  <c r="AO140" i="2"/>
  <c r="AO136" i="2"/>
  <c r="AO132" i="2"/>
  <c r="AO128" i="2"/>
  <c r="AO124" i="2"/>
  <c r="AO120" i="2"/>
  <c r="AO116" i="2"/>
  <c r="AO112" i="2"/>
  <c r="AO108" i="2"/>
  <c r="AO104" i="2"/>
  <c r="AO100" i="2"/>
  <c r="AO96" i="2"/>
  <c r="AO92" i="2"/>
  <c r="AO88" i="2"/>
  <c r="AO84" i="2"/>
  <c r="AO80" i="2"/>
  <c r="AO73" i="2"/>
  <c r="AO69" i="2"/>
  <c r="AO65" i="2"/>
  <c r="AO61" i="2"/>
  <c r="AO57" i="2"/>
  <c r="AO53" i="2"/>
  <c r="AO49" i="2"/>
  <c r="AO45" i="2"/>
  <c r="AO41" i="2"/>
  <c r="AO37" i="2"/>
  <c r="AO33" i="2"/>
  <c r="AO29" i="2"/>
  <c r="AO25" i="2"/>
  <c r="AO21" i="2"/>
  <c r="AO17" i="2"/>
  <c r="AO13" i="2"/>
  <c r="AO9" i="2"/>
  <c r="AO341" i="2"/>
  <c r="AO337" i="2"/>
  <c r="AO333" i="2"/>
  <c r="AO330" i="2"/>
  <c r="AO326" i="2"/>
  <c r="AO322" i="2"/>
  <c r="AO318" i="2"/>
  <c r="AO314" i="2"/>
  <c r="AO310" i="2"/>
  <c r="AO306" i="2"/>
  <c r="AO302" i="2"/>
  <c r="AO298" i="2"/>
  <c r="AO291" i="2"/>
  <c r="AO287" i="2"/>
  <c r="AO283" i="2"/>
  <c r="AO279" i="2"/>
  <c r="AO275" i="2"/>
  <c r="AO271" i="2"/>
  <c r="AO267" i="2"/>
  <c r="AO263" i="2"/>
  <c r="AO259" i="2"/>
  <c r="AO255" i="2"/>
  <c r="AO251" i="2"/>
  <c r="AO247" i="2"/>
  <c r="AO243" i="2"/>
  <c r="AO239" i="2"/>
  <c r="AO235" i="2"/>
  <c r="AO231" i="2"/>
  <c r="AO227" i="2"/>
  <c r="AO223" i="2"/>
  <c r="AO216" i="2"/>
  <c r="AO212" i="2"/>
  <c r="AO208" i="2"/>
  <c r="AO204" i="2"/>
  <c r="AO200" i="2"/>
  <c r="AO196" i="2"/>
  <c r="AO192" i="2"/>
  <c r="AO188" i="2"/>
  <c r="AO184" i="2"/>
  <c r="AO180" i="2"/>
  <c r="AO176" i="2"/>
  <c r="AO172" i="2"/>
  <c r="AO168" i="2"/>
  <c r="AO164" i="2"/>
  <c r="AO160" i="2"/>
  <c r="AO156" i="2"/>
  <c r="AO152" i="2"/>
  <c r="AO145" i="2"/>
  <c r="AO141" i="2"/>
  <c r="AO137" i="2"/>
  <c r="AO133" i="2"/>
  <c r="AO129" i="2"/>
  <c r="AO125" i="2"/>
  <c r="AO121" i="2"/>
  <c r="AO117" i="2"/>
  <c r="AO113" i="2"/>
  <c r="AO109" i="2"/>
  <c r="AO105" i="2"/>
  <c r="AO101" i="2"/>
  <c r="AO97" i="2"/>
  <c r="AO93" i="2"/>
  <c r="AO89" i="2"/>
  <c r="AO85" i="2"/>
  <c r="AO81" i="2"/>
  <c r="AO77" i="2"/>
  <c r="AO70" i="2"/>
  <c r="AO66" i="2"/>
  <c r="AO62" i="2"/>
  <c r="AO58" i="2"/>
  <c r="AO50" i="2"/>
  <c r="AO46" i="2"/>
  <c r="AO42" i="2"/>
  <c r="AO38" i="2"/>
  <c r="AO34" i="2"/>
  <c r="AO30" i="2"/>
  <c r="AO26" i="2"/>
  <c r="AO22" i="2"/>
  <c r="AO18" i="2"/>
  <c r="AO14" i="2"/>
  <c r="AO10" i="2"/>
  <c r="AE62" i="2"/>
  <c r="AE161" i="2"/>
  <c r="AE165" i="2"/>
  <c r="AI247" i="2"/>
  <c r="AE23" i="2"/>
  <c r="AE85" i="2"/>
  <c r="AE200" i="2"/>
  <c r="AE228" i="2"/>
  <c r="AE535" i="2"/>
  <c r="AE247" i="2"/>
  <c r="AE391" i="2"/>
  <c r="AE151" i="2"/>
  <c r="AE352" i="2"/>
  <c r="AE368" i="2"/>
  <c r="AE708" i="2"/>
  <c r="AI103" i="8" l="1"/>
  <c r="AL103" i="2" s="1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5" i="8"/>
  <c r="AK206" i="8"/>
  <c r="AK207" i="8"/>
  <c r="AK208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6" i="8"/>
  <c r="AK227" i="8"/>
  <c r="AK228" i="8"/>
  <c r="AK229" i="8"/>
  <c r="AK230" i="8"/>
  <c r="AK231" i="8"/>
  <c r="AK232" i="8"/>
  <c r="AK233" i="8"/>
  <c r="AK234" i="8"/>
  <c r="AK238" i="8"/>
  <c r="AK239" i="8"/>
  <c r="AK240" i="8"/>
  <c r="AK241" i="8"/>
  <c r="AK242" i="8"/>
  <c r="AK243" i="8"/>
  <c r="AK244" i="8"/>
  <c r="AK245" i="8"/>
  <c r="AK246" i="8"/>
  <c r="AK247" i="8"/>
  <c r="AK248" i="8"/>
  <c r="AK249" i="8"/>
  <c r="AK250" i="8"/>
  <c r="AK251" i="8"/>
  <c r="AK252" i="8"/>
  <c r="AK253" i="8"/>
  <c r="AK254" i="8"/>
  <c r="AK255" i="8"/>
  <c r="AK256" i="8"/>
  <c r="AK257" i="8"/>
  <c r="AK258" i="8"/>
  <c r="AK259" i="8"/>
  <c r="AK260" i="8"/>
  <c r="AK261" i="8"/>
  <c r="AK262" i="8"/>
  <c r="AK263" i="8"/>
  <c r="AK264" i="8"/>
  <c r="AK265" i="8"/>
  <c r="AK266" i="8"/>
  <c r="AK267" i="8"/>
  <c r="AK268" i="8"/>
  <c r="AK269" i="8"/>
  <c r="AK270" i="8"/>
  <c r="AK271" i="8"/>
  <c r="AK272" i="8"/>
  <c r="AK273" i="8"/>
  <c r="AK274" i="8"/>
  <c r="AK275" i="8"/>
  <c r="AK276" i="8"/>
  <c r="AK277" i="8"/>
  <c r="AK278" i="8"/>
  <c r="AK279" i="8"/>
  <c r="AK280" i="8"/>
  <c r="AK281" i="8"/>
  <c r="AK282" i="8"/>
  <c r="AK283" i="8"/>
  <c r="AK284" i="8"/>
  <c r="AK285" i="8"/>
  <c r="AK286" i="8"/>
  <c r="AK287" i="8"/>
  <c r="AK288" i="8"/>
  <c r="AK289" i="8"/>
  <c r="AK290" i="8"/>
  <c r="AK291" i="8"/>
  <c r="AK292" i="8"/>
  <c r="AK293" i="8"/>
  <c r="AK294" i="8"/>
  <c r="AK295" i="8"/>
  <c r="AK296" i="8"/>
  <c r="AK297" i="8"/>
  <c r="AK298" i="8"/>
  <c r="AK299" i="8"/>
  <c r="AK300" i="8"/>
  <c r="AK301" i="8"/>
  <c r="AK302" i="8"/>
  <c r="AK303" i="8"/>
  <c r="AK304" i="8"/>
  <c r="AK305" i="8"/>
  <c r="AK306" i="8"/>
  <c r="AK307" i="8"/>
  <c r="AK308" i="8"/>
  <c r="AK312" i="8"/>
  <c r="AK313" i="8"/>
  <c r="AK314" i="8"/>
  <c r="AK315" i="8"/>
  <c r="AK316" i="8"/>
  <c r="AK317" i="8"/>
  <c r="AK318" i="8"/>
  <c r="AK319" i="8"/>
  <c r="AK320" i="8"/>
  <c r="AK321" i="8"/>
  <c r="AK322" i="8"/>
  <c r="AK323" i="8"/>
  <c r="AK324" i="8"/>
  <c r="AK325" i="8"/>
  <c r="AK326" i="8"/>
  <c r="AK327" i="8"/>
  <c r="AK328" i="8"/>
  <c r="AK329" i="8"/>
  <c r="AK330" i="8"/>
  <c r="AK331" i="8"/>
  <c r="AK332" i="8"/>
  <c r="AK333" i="8"/>
  <c r="AK334" i="8"/>
  <c r="AK335" i="8"/>
  <c r="AK336" i="8"/>
  <c r="AK337" i="8"/>
  <c r="AK338" i="8"/>
  <c r="AK339" i="8"/>
  <c r="AK340" i="8"/>
  <c r="AK341" i="8"/>
  <c r="AK342" i="8"/>
  <c r="AK343" i="8"/>
  <c r="AK344" i="8"/>
  <c r="AK345" i="8"/>
  <c r="AK346" i="8"/>
  <c r="AK347" i="8"/>
  <c r="AK348" i="8"/>
  <c r="AK349" i="8"/>
  <c r="AK350" i="8"/>
  <c r="AK351" i="8"/>
  <c r="AK352" i="8"/>
  <c r="AK353" i="8"/>
  <c r="AK354" i="8"/>
  <c r="AK355" i="8"/>
  <c r="AK356" i="8"/>
  <c r="AK357" i="8"/>
  <c r="AK358" i="8"/>
  <c r="AK359" i="8"/>
  <c r="AK360" i="8"/>
  <c r="AK361" i="8"/>
  <c r="AK362" i="8"/>
  <c r="AK363" i="8"/>
  <c r="AK364" i="8"/>
  <c r="AK365" i="8"/>
  <c r="AK366" i="8"/>
  <c r="AK367" i="8"/>
  <c r="AK368" i="8"/>
  <c r="AK369" i="8"/>
  <c r="AK370" i="8"/>
  <c r="AK371" i="8"/>
  <c r="AK372" i="8"/>
  <c r="AK373" i="8"/>
  <c r="AK374" i="8"/>
  <c r="AK375" i="8"/>
  <c r="AK376" i="8"/>
  <c r="AK377" i="8"/>
  <c r="AK378" i="8"/>
  <c r="AK379" i="8"/>
  <c r="AK380" i="8"/>
  <c r="AK381" i="8"/>
  <c r="AK382" i="8"/>
  <c r="AK386" i="8"/>
  <c r="AK387" i="8"/>
  <c r="AK388" i="8"/>
  <c r="AK389" i="8"/>
  <c r="AK390" i="8"/>
  <c r="AK391" i="8"/>
  <c r="AK392" i="8"/>
  <c r="AK393" i="8"/>
  <c r="AK394" i="8"/>
  <c r="AK395" i="8"/>
  <c r="AK396" i="8"/>
  <c r="AK397" i="8"/>
  <c r="AK398" i="8"/>
  <c r="AK399" i="8"/>
  <c r="AK400" i="8"/>
  <c r="AK401" i="8"/>
  <c r="AK402" i="8"/>
  <c r="AK403" i="8"/>
  <c r="AK404" i="8"/>
  <c r="AK405" i="8"/>
  <c r="AK406" i="8"/>
  <c r="AK407" i="8"/>
  <c r="AK408" i="8"/>
  <c r="AK409" i="8"/>
  <c r="AK410" i="8"/>
  <c r="AK411" i="8"/>
  <c r="AK412" i="8"/>
  <c r="AK413" i="8"/>
  <c r="AK414" i="8"/>
  <c r="AK415" i="8"/>
  <c r="AK416" i="8"/>
  <c r="AK417" i="8"/>
  <c r="AK418" i="8"/>
  <c r="AK419" i="8"/>
  <c r="AK420" i="8"/>
  <c r="AK421" i="8"/>
  <c r="AK422" i="8"/>
  <c r="AK423" i="8"/>
  <c r="AK424" i="8"/>
  <c r="AK425" i="8"/>
  <c r="AK426" i="8"/>
  <c r="AK427" i="8"/>
  <c r="AK428" i="8"/>
  <c r="AK429" i="8"/>
  <c r="AK430" i="8"/>
  <c r="AK431" i="8"/>
  <c r="AK432" i="8"/>
  <c r="AK433" i="8"/>
  <c r="AK434" i="8"/>
  <c r="AK435" i="8"/>
  <c r="AK436" i="8"/>
  <c r="AK437" i="8"/>
  <c r="AK438" i="8"/>
  <c r="AK439" i="8"/>
  <c r="AK440" i="8"/>
  <c r="AK441" i="8"/>
  <c r="AK442" i="8"/>
  <c r="AK443" i="8"/>
  <c r="AK444" i="8"/>
  <c r="AK445" i="8"/>
  <c r="AK446" i="8"/>
  <c r="AK447" i="8"/>
  <c r="AK448" i="8"/>
  <c r="AK449" i="8"/>
  <c r="AK450" i="8"/>
  <c r="AK451" i="8"/>
  <c r="AK452" i="8"/>
  <c r="AK453" i="8"/>
  <c r="AK454" i="8"/>
  <c r="AK455" i="8"/>
  <c r="AK456" i="8"/>
  <c r="AK460" i="8"/>
  <c r="AK461" i="8"/>
  <c r="AK462" i="8"/>
  <c r="AK463" i="8"/>
  <c r="AK464" i="8"/>
  <c r="AK465" i="8"/>
  <c r="AK466" i="8"/>
  <c r="AK467" i="8"/>
  <c r="AK468" i="8"/>
  <c r="AK469" i="8"/>
  <c r="AK470" i="8"/>
  <c r="AK471" i="8"/>
  <c r="AK472" i="8"/>
  <c r="AK473" i="8"/>
  <c r="AK474" i="8"/>
  <c r="AK475" i="8"/>
  <c r="AK476" i="8"/>
  <c r="AK477" i="8"/>
  <c r="AK478" i="8"/>
  <c r="AK479" i="8"/>
  <c r="AK480" i="8"/>
  <c r="AK481" i="8"/>
  <c r="AK482" i="8"/>
  <c r="AK483" i="8"/>
  <c r="AK484" i="8"/>
  <c r="AK485" i="8"/>
  <c r="AK486" i="8"/>
  <c r="AK487" i="8"/>
  <c r="AK488" i="8"/>
  <c r="AK489" i="8"/>
  <c r="AK490" i="8"/>
  <c r="AK491" i="8"/>
  <c r="AK492" i="8"/>
  <c r="AK493" i="8"/>
  <c r="AK494" i="8"/>
  <c r="AK495" i="8"/>
  <c r="AK496" i="8"/>
  <c r="AK497" i="8"/>
  <c r="AK498" i="8"/>
  <c r="AK499" i="8"/>
  <c r="AK500" i="8"/>
  <c r="AK501" i="8"/>
  <c r="AK502" i="8"/>
  <c r="AK503" i="8"/>
  <c r="AK504" i="8"/>
  <c r="AK505" i="8"/>
  <c r="AL103" i="8"/>
  <c r="AM103" i="8" l="1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M25" i="8" s="1"/>
  <c r="AL26" i="8"/>
  <c r="AM26" i="8" s="1"/>
  <c r="AL27" i="8"/>
  <c r="AL28" i="8"/>
  <c r="AL29" i="8"/>
  <c r="AM29" i="8" s="1"/>
  <c r="AL30" i="8"/>
  <c r="AM30" i="8" s="1"/>
  <c r="AL31" i="8"/>
  <c r="AL32" i="8"/>
  <c r="AL33" i="8"/>
  <c r="AM33" i="8" s="1"/>
  <c r="AL34" i="8"/>
  <c r="AM34" i="8" s="1"/>
  <c r="AL35" i="8"/>
  <c r="AL36" i="8"/>
  <c r="AL37" i="8"/>
  <c r="AM37" i="8" s="1"/>
  <c r="AL38" i="8"/>
  <c r="AL39" i="8"/>
  <c r="AL40" i="8"/>
  <c r="AM40" i="8" s="1"/>
  <c r="AL41" i="8"/>
  <c r="AM41" i="8" s="1"/>
  <c r="AL42" i="8"/>
  <c r="AM42" i="8" s="1"/>
  <c r="AL43" i="8"/>
  <c r="AL44" i="8"/>
  <c r="AM44" i="8" s="1"/>
  <c r="AL45" i="8"/>
  <c r="AM45" i="8" s="1"/>
  <c r="AL46" i="8"/>
  <c r="AL47" i="8"/>
  <c r="AL48" i="8"/>
  <c r="AL49" i="8"/>
  <c r="AM49" i="8" s="1"/>
  <c r="AL50" i="8"/>
  <c r="AL51" i="8"/>
  <c r="AL52" i="8"/>
  <c r="AM52" i="8" s="1"/>
  <c r="AL53" i="8"/>
  <c r="AM53" i="8" s="1"/>
  <c r="AL54" i="8"/>
  <c r="AL55" i="8"/>
  <c r="AL56" i="8"/>
  <c r="AM56" i="8" s="1"/>
  <c r="AL57" i="8"/>
  <c r="AM57" i="8" s="1"/>
  <c r="AL58" i="8"/>
  <c r="AL59" i="8"/>
  <c r="AL60" i="8"/>
  <c r="AM60" i="8" s="1"/>
  <c r="AL61" i="8"/>
  <c r="AM61" i="8" s="1"/>
  <c r="AL62" i="8"/>
  <c r="AL63" i="8"/>
  <c r="AL64" i="8"/>
  <c r="AL65" i="8"/>
  <c r="AM65" i="8" s="1"/>
  <c r="AL66" i="8"/>
  <c r="AL67" i="8"/>
  <c r="AL68" i="8"/>
  <c r="AM68" i="8" s="1"/>
  <c r="AL69" i="8"/>
  <c r="AM69" i="8" s="1"/>
  <c r="AL70" i="8"/>
  <c r="AL71" i="8"/>
  <c r="AL72" i="8"/>
  <c r="AM72" i="8" s="1"/>
  <c r="AL73" i="8"/>
  <c r="AM73" i="8" s="1"/>
  <c r="AL74" i="8"/>
  <c r="AL75" i="8"/>
  <c r="AL76" i="8"/>
  <c r="AM76" i="8" s="1"/>
  <c r="AL77" i="8"/>
  <c r="AM77" i="8" s="1"/>
  <c r="AL78" i="8"/>
  <c r="AL79" i="8"/>
  <c r="AL83" i="8"/>
  <c r="AM83" i="8" s="1"/>
  <c r="AL84" i="8"/>
  <c r="AM84" i="8" s="1"/>
  <c r="AL85" i="8"/>
  <c r="AL86" i="8"/>
  <c r="AL87" i="8"/>
  <c r="AM87" i="8" s="1"/>
  <c r="AL88" i="8"/>
  <c r="AM88" i="8" s="1"/>
  <c r="AL89" i="8"/>
  <c r="AL90" i="8"/>
  <c r="AL91" i="8"/>
  <c r="AM91" i="8" s="1"/>
  <c r="AL92" i="8"/>
  <c r="AM92" i="8" s="1"/>
  <c r="AL93" i="8"/>
  <c r="AL94" i="8"/>
  <c r="AL95" i="8"/>
  <c r="AL96" i="8"/>
  <c r="AM96" i="8" s="1"/>
  <c r="AL97" i="8"/>
  <c r="AL98" i="8"/>
  <c r="AL99" i="8"/>
  <c r="AM99" i="8" s="1"/>
  <c r="AL100" i="8"/>
  <c r="AM100" i="8" s="1"/>
  <c r="AL101" i="8"/>
  <c r="AM101" i="8" s="1"/>
  <c r="AL102" i="8"/>
  <c r="AL104" i="8"/>
  <c r="AM104" i="8" s="1"/>
  <c r="AL105" i="8"/>
  <c r="AM105" i="8" s="1"/>
  <c r="AL106" i="8"/>
  <c r="AL107" i="8"/>
  <c r="AL108" i="8"/>
  <c r="AL109" i="8"/>
  <c r="AM109" i="8" s="1"/>
  <c r="AL110" i="8"/>
  <c r="AM110" i="8" s="1"/>
  <c r="AL111" i="8"/>
  <c r="AL112" i="8"/>
  <c r="AM112" i="8" s="1"/>
  <c r="AL113" i="8"/>
  <c r="AM113" i="8" s="1"/>
  <c r="AL114" i="8"/>
  <c r="AL115" i="8"/>
  <c r="AL116" i="8"/>
  <c r="AM116" i="8" s="1"/>
  <c r="AL117" i="8"/>
  <c r="AM117" i="8" s="1"/>
  <c r="AL118" i="8"/>
  <c r="AL119" i="8"/>
  <c r="AL120" i="8"/>
  <c r="AM120" i="8" s="1"/>
  <c r="AL121" i="8"/>
  <c r="AM121" i="8" s="1"/>
  <c r="AL122" i="8"/>
  <c r="AL123" i="8"/>
  <c r="AL124" i="8"/>
  <c r="AM124" i="8" s="1"/>
  <c r="AL125" i="8"/>
  <c r="AM125" i="8" s="1"/>
  <c r="AL126" i="8"/>
  <c r="AL127" i="8"/>
  <c r="AL128" i="8"/>
  <c r="AM128" i="8" s="1"/>
  <c r="AL129" i="8"/>
  <c r="AM129" i="8" s="1"/>
  <c r="AL130" i="8"/>
  <c r="AL131" i="8"/>
  <c r="AL132" i="8"/>
  <c r="AM132" i="8" s="1"/>
  <c r="AL133" i="8"/>
  <c r="AM133" i="8" s="1"/>
  <c r="AL134" i="8"/>
  <c r="AL135" i="8"/>
  <c r="AL136" i="8"/>
  <c r="AL137" i="8"/>
  <c r="AM137" i="8" s="1"/>
  <c r="AL138" i="8"/>
  <c r="AL139" i="8"/>
  <c r="AL140" i="8"/>
  <c r="AM140" i="8" s="1"/>
  <c r="AL141" i="8"/>
  <c r="AM141" i="8" s="1"/>
  <c r="AL142" i="8"/>
  <c r="AL143" i="8"/>
  <c r="AL144" i="8"/>
  <c r="AM144" i="8" s="1"/>
  <c r="AL145" i="8"/>
  <c r="AM145" i="8" s="1"/>
  <c r="AL146" i="8"/>
  <c r="AL147" i="8"/>
  <c r="AL148" i="8"/>
  <c r="AM148" i="8" s="1"/>
  <c r="AL149" i="8"/>
  <c r="AM149" i="8" s="1"/>
  <c r="AL150" i="8"/>
  <c r="AL151" i="8"/>
  <c r="AL152" i="8"/>
  <c r="AM152" i="8" s="1"/>
  <c r="AL153" i="8"/>
  <c r="AM153" i="8" s="1"/>
  <c r="AL154" i="8"/>
  <c r="AL155" i="8"/>
  <c r="AL156" i="8"/>
  <c r="AM156" i="8" s="1"/>
  <c r="AL160" i="8"/>
  <c r="AM160" i="8" s="1"/>
  <c r="AL161" i="8"/>
  <c r="AL162" i="8"/>
  <c r="AL163" i="8"/>
  <c r="AM163" i="8" s="1"/>
  <c r="AL164" i="8"/>
  <c r="AM164" i="8" s="1"/>
  <c r="AL165" i="8"/>
  <c r="AL166" i="8"/>
  <c r="AL167" i="8"/>
  <c r="AL168" i="8"/>
  <c r="AM168" i="8" s="1"/>
  <c r="AL169" i="8"/>
  <c r="AM169" i="8" s="1"/>
  <c r="AL170" i="8"/>
  <c r="AL171" i="8"/>
  <c r="AL172" i="8"/>
  <c r="AM172" i="8" s="1"/>
  <c r="AL173" i="8"/>
  <c r="AL174" i="8"/>
  <c r="AL175" i="8"/>
  <c r="AM175" i="8" s="1"/>
  <c r="AL176" i="8"/>
  <c r="AM176" i="8" s="1"/>
  <c r="AL177" i="8"/>
  <c r="AM177" i="8" s="1"/>
  <c r="AL178" i="8"/>
  <c r="AL179" i="8"/>
  <c r="AM179" i="8" s="1"/>
  <c r="AL180" i="8"/>
  <c r="AM180" i="8" s="1"/>
  <c r="AL181" i="8"/>
  <c r="AL182" i="8"/>
  <c r="AL183" i="8"/>
  <c r="AM183" i="8" s="1"/>
  <c r="AL184" i="8"/>
  <c r="AM184" i="8" s="1"/>
  <c r="AL185" i="8"/>
  <c r="AL186" i="8"/>
  <c r="AL187" i="8"/>
  <c r="AM187" i="8" s="1"/>
  <c r="AL188" i="8"/>
  <c r="AM188" i="8" s="1"/>
  <c r="AL189" i="8"/>
  <c r="AL190" i="8"/>
  <c r="AL191" i="8"/>
  <c r="AM191" i="8" s="1"/>
  <c r="AL192" i="8"/>
  <c r="AM192" i="8" s="1"/>
  <c r="AL193" i="8"/>
  <c r="AL194" i="8"/>
  <c r="AL195" i="8"/>
  <c r="AL196" i="8"/>
  <c r="AM196" i="8" s="1"/>
  <c r="AL197" i="8"/>
  <c r="AL198" i="8"/>
  <c r="AL199" i="8"/>
  <c r="AM199" i="8" s="1"/>
  <c r="AL200" i="8"/>
  <c r="AM200" i="8" s="1"/>
  <c r="AL201" i="8"/>
  <c r="AL202" i="8"/>
  <c r="AL203" i="8"/>
  <c r="AM203" i="8" s="1"/>
  <c r="AL204" i="8"/>
  <c r="AM204" i="8" s="1"/>
  <c r="AL205" i="8"/>
  <c r="AL206" i="8"/>
  <c r="AL207" i="8"/>
  <c r="AM207" i="8" s="1"/>
  <c r="AL208" i="8"/>
  <c r="AM208" i="8" s="1"/>
  <c r="AL209" i="8"/>
  <c r="AL210" i="8"/>
  <c r="AL211" i="8"/>
  <c r="AM211" i="8" s="1"/>
  <c r="AL212" i="8"/>
  <c r="AM212" i="8" s="1"/>
  <c r="AL213" i="8"/>
  <c r="AL214" i="8"/>
  <c r="AM214" i="8" s="1"/>
  <c r="AL215" i="8"/>
  <c r="AM215" i="8" s="1"/>
  <c r="AL216" i="8"/>
  <c r="AM216" i="8" s="1"/>
  <c r="AL217" i="8"/>
  <c r="AL218" i="8"/>
  <c r="AL219" i="8"/>
  <c r="AM219" i="8" s="1"/>
  <c r="AL220" i="8"/>
  <c r="AM220" i="8" s="1"/>
  <c r="AL221" i="8"/>
  <c r="AL222" i="8"/>
  <c r="AL223" i="8"/>
  <c r="AL224" i="8"/>
  <c r="AM224" i="8" s="1"/>
  <c r="AL225" i="8"/>
  <c r="AL226" i="8"/>
  <c r="AL227" i="8"/>
  <c r="AM227" i="8" s="1"/>
  <c r="AL228" i="8"/>
  <c r="AM228" i="8" s="1"/>
  <c r="AL229" i="8"/>
  <c r="AM229" i="8" s="1"/>
  <c r="AL230" i="8"/>
  <c r="AL231" i="8"/>
  <c r="AM231" i="8" s="1"/>
  <c r="AL232" i="8"/>
  <c r="AM232" i="8" s="1"/>
  <c r="AL233" i="8"/>
  <c r="AL234" i="8"/>
  <c r="AL238" i="8"/>
  <c r="AM238" i="8" s="1"/>
  <c r="AL239" i="8"/>
  <c r="AM239" i="8" s="1"/>
  <c r="AL240" i="8"/>
  <c r="AL241" i="8"/>
  <c r="AL242" i="8"/>
  <c r="AM242" i="8" s="1"/>
  <c r="AL243" i="8"/>
  <c r="AM243" i="8" s="1"/>
  <c r="AL244" i="8"/>
  <c r="AL245" i="8"/>
  <c r="AL246" i="8"/>
  <c r="AM246" i="8" s="1"/>
  <c r="AL247" i="8"/>
  <c r="AM247" i="8" s="1"/>
  <c r="AL248" i="8"/>
  <c r="AL249" i="8"/>
  <c r="AL250" i="8"/>
  <c r="AM250" i="8" s="1"/>
  <c r="AL251" i="8"/>
  <c r="AM251" i="8" s="1"/>
  <c r="AL252" i="8"/>
  <c r="AL253" i="8"/>
  <c r="AL254" i="8"/>
  <c r="AM254" i="8" s="1"/>
  <c r="AL255" i="8"/>
  <c r="AM255" i="8" s="1"/>
  <c r="AL256" i="8"/>
  <c r="AL257" i="8"/>
  <c r="AL258" i="8"/>
  <c r="AL259" i="8"/>
  <c r="AM259" i="8" s="1"/>
  <c r="AL260" i="8"/>
  <c r="AM260" i="8" s="1"/>
  <c r="AL261" i="8"/>
  <c r="AL262" i="8"/>
  <c r="AM262" i="8" s="1"/>
  <c r="AL263" i="8"/>
  <c r="AM263" i="8" s="1"/>
  <c r="AL264" i="8"/>
  <c r="AL265" i="8"/>
  <c r="AL266" i="8"/>
  <c r="AM266" i="8" s="1"/>
  <c r="AL267" i="8"/>
  <c r="AM267" i="8" s="1"/>
  <c r="AL268" i="8"/>
  <c r="AL269" i="8"/>
  <c r="AM269" i="8" s="1"/>
  <c r="AL270" i="8"/>
  <c r="AM270" i="8" s="1"/>
  <c r="AL271" i="8"/>
  <c r="AM271" i="8" s="1"/>
  <c r="AL272" i="8"/>
  <c r="AL273" i="8"/>
  <c r="AL274" i="8"/>
  <c r="AM274" i="8" s="1"/>
  <c r="AL275" i="8"/>
  <c r="AM275" i="8" s="1"/>
  <c r="AL276" i="8"/>
  <c r="AL277" i="8"/>
  <c r="AL278" i="8"/>
  <c r="AM278" i="8" s="1"/>
  <c r="AL279" i="8"/>
  <c r="AM279" i="8" s="1"/>
  <c r="AL280" i="8"/>
  <c r="AL281" i="8"/>
  <c r="AL282" i="8"/>
  <c r="AM282" i="8" s="1"/>
  <c r="AL283" i="8"/>
  <c r="AM283" i="8" s="1"/>
  <c r="AL284" i="8"/>
  <c r="AL285" i="8"/>
  <c r="AL286" i="8"/>
  <c r="AM286" i="8" s="1"/>
  <c r="AL287" i="8"/>
  <c r="AM287" i="8" s="1"/>
  <c r="AL288" i="8"/>
  <c r="AL289" i="8"/>
  <c r="AM289" i="8" s="1"/>
  <c r="AL290" i="8"/>
  <c r="AM290" i="8" s="1"/>
  <c r="AL291" i="8"/>
  <c r="AM291" i="8" s="1"/>
  <c r="AL292" i="8"/>
  <c r="AL293" i="8"/>
  <c r="AL294" i="8"/>
  <c r="AM294" i="8" s="1"/>
  <c r="AL295" i="8"/>
  <c r="AM295" i="8" s="1"/>
  <c r="AL296" i="8"/>
  <c r="AL297" i="8"/>
  <c r="AM297" i="8" s="1"/>
  <c r="AL298" i="8"/>
  <c r="AL299" i="8"/>
  <c r="AM299" i="8" s="1"/>
  <c r="AL300" i="8"/>
  <c r="AL301" i="8"/>
  <c r="AL302" i="8"/>
  <c r="AM302" i="8" s="1"/>
  <c r="AL303" i="8"/>
  <c r="AM303" i="8" s="1"/>
  <c r="AL304" i="8"/>
  <c r="AL305" i="8"/>
  <c r="AL306" i="8"/>
  <c r="AM306" i="8" s="1"/>
  <c r="AL307" i="8"/>
  <c r="AM307" i="8" s="1"/>
  <c r="AL308" i="8"/>
  <c r="AL312" i="8"/>
  <c r="AL313" i="8"/>
  <c r="AM313" i="8" s="1"/>
  <c r="AL314" i="8"/>
  <c r="AM314" i="8" s="1"/>
  <c r="AL315" i="8"/>
  <c r="AL316" i="8"/>
  <c r="AL317" i="8"/>
  <c r="AM317" i="8" s="1"/>
  <c r="AL318" i="8"/>
  <c r="AM318" i="8" s="1"/>
  <c r="AL319" i="8"/>
  <c r="AL320" i="8"/>
  <c r="AM320" i="8" s="1"/>
  <c r="AL321" i="8"/>
  <c r="AL322" i="8"/>
  <c r="AM322" i="8" s="1"/>
  <c r="AL323" i="8"/>
  <c r="AL324" i="8"/>
  <c r="AL325" i="8"/>
  <c r="AM325" i="8" s="1"/>
  <c r="AL326" i="8"/>
  <c r="AM326" i="8" s="1"/>
  <c r="AL327" i="8"/>
  <c r="AL328" i="8"/>
  <c r="AL329" i="8"/>
  <c r="AM329" i="8" s="1"/>
  <c r="AL330" i="8"/>
  <c r="AM330" i="8" s="1"/>
  <c r="AL331" i="8"/>
  <c r="AL332" i="8"/>
  <c r="AM332" i="8" s="1"/>
  <c r="AL333" i="8"/>
  <c r="AM333" i="8" s="1"/>
  <c r="AL334" i="8"/>
  <c r="AL335" i="8"/>
  <c r="AL336" i="8"/>
  <c r="AM336" i="8" s="1"/>
  <c r="AL337" i="8"/>
  <c r="AM337" i="8" s="1"/>
  <c r="AL338" i="8"/>
  <c r="AL339" i="8"/>
  <c r="AL340" i="8"/>
  <c r="AM340" i="8" s="1"/>
  <c r="AL341" i="8"/>
  <c r="AM341" i="8" s="1"/>
  <c r="AL342" i="8"/>
  <c r="AL343" i="8"/>
  <c r="AL344" i="8"/>
  <c r="AM344" i="8" s="1"/>
  <c r="AL345" i="8"/>
  <c r="AM345" i="8" s="1"/>
  <c r="AL346" i="8"/>
  <c r="AL347" i="8"/>
  <c r="AL348" i="8"/>
  <c r="AM348" i="8" s="1"/>
  <c r="AL349" i="8"/>
  <c r="AM349" i="8" s="1"/>
  <c r="AL350" i="8"/>
  <c r="AL351" i="8"/>
  <c r="AL352" i="8"/>
  <c r="AM352" i="8" s="1"/>
  <c r="AL353" i="8"/>
  <c r="AM353" i="8" s="1"/>
  <c r="AL354" i="8"/>
  <c r="AL355" i="8"/>
  <c r="AL356" i="8"/>
  <c r="AM356" i="8" s="1"/>
  <c r="AL357" i="8"/>
  <c r="AM357" i="8" s="1"/>
  <c r="AL358" i="8"/>
  <c r="AL359" i="8"/>
  <c r="AL360" i="8"/>
  <c r="AM360" i="8" s="1"/>
  <c r="AL361" i="8"/>
  <c r="AM361" i="8" s="1"/>
  <c r="AL362" i="8"/>
  <c r="AL363" i="8"/>
  <c r="AL364" i="8"/>
  <c r="AM364" i="8" s="1"/>
  <c r="AL365" i="8"/>
  <c r="AL366" i="8"/>
  <c r="AL367" i="8"/>
  <c r="AL368" i="8"/>
  <c r="AM368" i="8" s="1"/>
  <c r="AL369" i="8"/>
  <c r="AM369" i="8" s="1"/>
  <c r="AL370" i="8"/>
  <c r="AL371" i="8"/>
  <c r="AL372" i="8"/>
  <c r="AM372" i="8" s="1"/>
  <c r="AL373" i="8"/>
  <c r="AM373" i="8" s="1"/>
  <c r="AL374" i="8"/>
  <c r="AL375" i="8"/>
  <c r="AL376" i="8"/>
  <c r="AM376" i="8" s="1"/>
  <c r="AL377" i="8"/>
  <c r="AM377" i="8" s="1"/>
  <c r="AL378" i="8"/>
  <c r="AM378" i="8" s="1"/>
  <c r="AL379" i="8"/>
  <c r="AL380" i="8"/>
  <c r="AM380" i="8" s="1"/>
  <c r="AL381" i="8"/>
  <c r="AM381" i="8" s="1"/>
  <c r="AL382" i="8"/>
  <c r="AL386" i="8"/>
  <c r="AL387" i="8"/>
  <c r="AM387" i="8" s="1"/>
  <c r="AL388" i="8"/>
  <c r="AL389" i="8"/>
  <c r="AL390" i="8"/>
  <c r="AL391" i="8"/>
  <c r="AM391" i="8" s="1"/>
  <c r="AL392" i="8"/>
  <c r="AM392" i="8" s="1"/>
  <c r="AL393" i="8"/>
  <c r="AL394" i="8"/>
  <c r="AL395" i="8"/>
  <c r="AM395" i="8" s="1"/>
  <c r="AL396" i="8"/>
  <c r="AM396" i="8" s="1"/>
  <c r="AL397" i="8"/>
  <c r="AL398" i="8"/>
  <c r="AL399" i="8"/>
  <c r="AM399" i="8" s="1"/>
  <c r="AL400" i="8"/>
  <c r="AM400" i="8" s="1"/>
  <c r="AL401" i="8"/>
  <c r="AL402" i="8"/>
  <c r="AL403" i="8"/>
  <c r="AM403" i="8" s="1"/>
  <c r="AL404" i="8"/>
  <c r="AM404" i="8" s="1"/>
  <c r="AL405" i="8"/>
  <c r="AL406" i="8"/>
  <c r="AL407" i="8"/>
  <c r="AM407" i="8" s="1"/>
  <c r="AL408" i="8"/>
  <c r="AM408" i="8" s="1"/>
  <c r="AL409" i="8"/>
  <c r="AL410" i="8"/>
  <c r="AL411" i="8"/>
  <c r="AM411" i="8" s="1"/>
  <c r="AL412" i="8"/>
  <c r="AM412" i="8" s="1"/>
  <c r="AL413" i="8"/>
  <c r="AL414" i="8"/>
  <c r="AL415" i="8"/>
  <c r="AM415" i="8" s="1"/>
  <c r="AL416" i="8"/>
  <c r="AM416" i="8" s="1"/>
  <c r="AL417" i="8"/>
  <c r="AL418" i="8"/>
  <c r="AL419" i="8"/>
  <c r="AM419" i="8" s="1"/>
  <c r="AL420" i="8"/>
  <c r="AL421" i="8"/>
  <c r="AL422" i="8"/>
  <c r="AM422" i="8" s="1"/>
  <c r="AL423" i="8"/>
  <c r="AM423" i="8" s="1"/>
  <c r="AL424" i="8"/>
  <c r="AL425" i="8"/>
  <c r="AL426" i="8"/>
  <c r="AM426" i="8" s="1"/>
  <c r="AL427" i="8"/>
  <c r="AM427" i="8" s="1"/>
  <c r="AL428" i="8"/>
  <c r="AL429" i="8"/>
  <c r="AL430" i="8"/>
  <c r="AM430" i="8" s="1"/>
  <c r="AL431" i="8"/>
  <c r="AM431" i="8" s="1"/>
  <c r="AL432" i="8"/>
  <c r="AL433" i="8"/>
  <c r="AL434" i="8"/>
  <c r="AL435" i="8"/>
  <c r="AM435" i="8" s="1"/>
  <c r="AL436" i="8"/>
  <c r="AL437" i="8"/>
  <c r="AL438" i="8"/>
  <c r="AM438" i="8" s="1"/>
  <c r="AL439" i="8"/>
  <c r="AM439" i="8" s="1"/>
  <c r="AL440" i="8"/>
  <c r="AL441" i="8"/>
  <c r="AL442" i="8"/>
  <c r="AM442" i="8" s="1"/>
  <c r="AL443" i="8"/>
  <c r="AM443" i="8" s="1"/>
  <c r="AL444" i="8"/>
  <c r="AL445" i="8"/>
  <c r="AL446" i="8"/>
  <c r="AM446" i="8" s="1"/>
  <c r="AL447" i="8"/>
  <c r="AM447" i="8" s="1"/>
  <c r="AL448" i="8"/>
  <c r="AM448" i="8" s="1"/>
  <c r="AL449" i="8"/>
  <c r="AL450" i="8"/>
  <c r="AL451" i="8"/>
  <c r="AM451" i="8" s="1"/>
  <c r="AL452" i="8"/>
  <c r="AL453" i="8"/>
  <c r="AL454" i="8"/>
  <c r="AM454" i="8" s="1"/>
  <c r="AL455" i="8"/>
  <c r="AL456" i="8"/>
  <c r="AL460" i="8"/>
  <c r="AM460" i="8" s="1"/>
  <c r="AL461" i="8"/>
  <c r="AM461" i="8" s="1"/>
  <c r="AL462" i="8"/>
  <c r="AL463" i="8"/>
  <c r="AL464" i="8"/>
  <c r="AM464" i="8" s="1"/>
  <c r="AL465" i="8"/>
  <c r="AM465" i="8" s="1"/>
  <c r="AL466" i="8"/>
  <c r="AL467" i="8"/>
  <c r="AL468" i="8"/>
  <c r="AM468" i="8" s="1"/>
  <c r="AL469" i="8"/>
  <c r="AM469" i="8" s="1"/>
  <c r="AL470" i="8"/>
  <c r="AL471" i="8"/>
  <c r="AL472" i="8"/>
  <c r="AM472" i="8" s="1"/>
  <c r="AL473" i="8"/>
  <c r="AM473" i="8" s="1"/>
  <c r="AL474" i="8"/>
  <c r="AL475" i="8"/>
  <c r="AL476" i="8"/>
  <c r="AM476" i="8" s="1"/>
  <c r="AL477" i="8"/>
  <c r="AM477" i="8" s="1"/>
  <c r="AL478" i="8"/>
  <c r="AL479" i="8"/>
  <c r="AL480" i="8"/>
  <c r="AM480" i="8" s="1"/>
  <c r="AL481" i="8"/>
  <c r="AM481" i="8" s="1"/>
  <c r="AL482" i="8"/>
  <c r="AL483" i="8"/>
  <c r="AL484" i="8"/>
  <c r="AM484" i="8" s="1"/>
  <c r="AL485" i="8"/>
  <c r="AM485" i="8" s="1"/>
  <c r="AL486" i="8"/>
  <c r="AL487" i="8"/>
  <c r="AL488" i="8"/>
  <c r="AM488" i="8" s="1"/>
  <c r="AL489" i="8"/>
  <c r="AM489" i="8" s="1"/>
  <c r="AL490" i="8"/>
  <c r="AL491" i="8"/>
  <c r="AL492" i="8"/>
  <c r="AM492" i="8" s="1"/>
  <c r="AL493" i="8"/>
  <c r="AL494" i="8"/>
  <c r="AL495" i="8"/>
  <c r="AM495" i="8" s="1"/>
  <c r="AL496" i="8"/>
  <c r="AM496" i="8" s="1"/>
  <c r="AL497" i="8"/>
  <c r="AL498" i="8"/>
  <c r="AM498" i="8" s="1"/>
  <c r="AL499" i="8"/>
  <c r="AM499" i="8" s="1"/>
  <c r="AL500" i="8"/>
  <c r="AM500" i="8" s="1"/>
  <c r="AL501" i="8"/>
  <c r="AL502" i="8"/>
  <c r="AL503" i="8"/>
  <c r="AM503" i="8" s="1"/>
  <c r="AL504" i="8"/>
  <c r="AM504" i="8" s="1"/>
  <c r="AL505" i="8"/>
  <c r="AL506" i="8"/>
  <c r="AL507" i="8"/>
  <c r="AL508" i="8"/>
  <c r="AL509" i="8"/>
  <c r="AL510" i="8"/>
  <c r="AL511" i="8"/>
  <c r="AL512" i="8"/>
  <c r="AL513" i="8"/>
  <c r="AL514" i="8"/>
  <c r="AL515" i="8"/>
  <c r="AL516" i="8"/>
  <c r="AL517" i="8"/>
  <c r="AL518" i="8"/>
  <c r="AL519" i="8"/>
  <c r="AL520" i="8"/>
  <c r="AL521" i="8"/>
  <c r="AL522" i="8"/>
  <c r="AL523" i="8"/>
  <c r="AL524" i="8"/>
  <c r="AL525" i="8"/>
  <c r="AL526" i="8"/>
  <c r="AL527" i="8"/>
  <c r="AL528" i="8"/>
  <c r="AL529" i="8"/>
  <c r="AL530" i="8"/>
  <c r="AL534" i="8"/>
  <c r="AL535" i="8"/>
  <c r="AL536" i="8"/>
  <c r="AL537" i="8"/>
  <c r="AL538" i="8"/>
  <c r="AL539" i="8"/>
  <c r="AL540" i="8"/>
  <c r="AL541" i="8"/>
  <c r="AL542" i="8"/>
  <c r="AL543" i="8"/>
  <c r="AL544" i="8"/>
  <c r="AL545" i="8"/>
  <c r="AL546" i="8"/>
  <c r="AL547" i="8"/>
  <c r="AL548" i="8"/>
  <c r="AL549" i="8"/>
  <c r="AL550" i="8"/>
  <c r="AL551" i="8"/>
  <c r="AL552" i="8"/>
  <c r="AL553" i="8"/>
  <c r="AL554" i="8"/>
  <c r="AL555" i="8"/>
  <c r="AL556" i="8"/>
  <c r="AL557" i="8"/>
  <c r="AL558" i="8"/>
  <c r="AL559" i="8"/>
  <c r="AL560" i="8"/>
  <c r="AL561" i="8"/>
  <c r="AL562" i="8"/>
  <c r="AL563" i="8"/>
  <c r="AL564" i="8"/>
  <c r="AL565" i="8"/>
  <c r="AL566" i="8"/>
  <c r="AL567" i="8"/>
  <c r="AL568" i="8"/>
  <c r="AL569" i="8"/>
  <c r="AL570" i="8"/>
  <c r="AL571" i="8"/>
  <c r="AL572" i="8"/>
  <c r="AL573" i="8"/>
  <c r="AL574" i="8"/>
  <c r="AL575" i="8"/>
  <c r="AL576" i="8"/>
  <c r="AL577" i="8"/>
  <c r="AL578" i="8"/>
  <c r="AL579" i="8"/>
  <c r="AL580" i="8"/>
  <c r="AL581" i="8"/>
  <c r="AL582" i="8"/>
  <c r="AL583" i="8"/>
  <c r="AL584" i="8"/>
  <c r="AL585" i="8"/>
  <c r="AL586" i="8"/>
  <c r="AL587" i="8"/>
  <c r="AL588" i="8"/>
  <c r="AL589" i="8"/>
  <c r="AL590" i="8"/>
  <c r="AL591" i="8"/>
  <c r="AL592" i="8"/>
  <c r="AL593" i="8"/>
  <c r="AL594" i="8"/>
  <c r="AL595" i="8"/>
  <c r="AL596" i="8"/>
  <c r="AL597" i="8"/>
  <c r="AL598" i="8"/>
  <c r="AL599" i="8"/>
  <c r="AL600" i="8"/>
  <c r="AL601" i="8"/>
  <c r="AL602" i="8"/>
  <c r="AL603" i="8"/>
  <c r="AL604" i="8"/>
  <c r="AL608" i="8"/>
  <c r="AL609" i="8"/>
  <c r="AL610" i="8"/>
  <c r="AL611" i="8"/>
  <c r="AL612" i="8"/>
  <c r="AL613" i="8"/>
  <c r="AL614" i="8"/>
  <c r="AL615" i="8"/>
  <c r="AL616" i="8"/>
  <c r="AL617" i="8"/>
  <c r="AL618" i="8"/>
  <c r="AL619" i="8"/>
  <c r="AL620" i="8"/>
  <c r="AL621" i="8"/>
  <c r="AL622" i="8"/>
  <c r="AL623" i="8"/>
  <c r="AL624" i="8"/>
  <c r="AL625" i="8"/>
  <c r="AL626" i="8"/>
  <c r="AL627" i="8"/>
  <c r="AL628" i="8"/>
  <c r="AL629" i="8"/>
  <c r="AL630" i="8"/>
  <c r="AL631" i="8"/>
  <c r="AL632" i="8"/>
  <c r="AL633" i="8"/>
  <c r="AL634" i="8"/>
  <c r="AL635" i="8"/>
  <c r="AL636" i="8"/>
  <c r="AL637" i="8"/>
  <c r="AL638" i="8"/>
  <c r="AL639" i="8"/>
  <c r="AL640" i="8"/>
  <c r="AL641" i="8"/>
  <c r="AL642" i="8"/>
  <c r="AL643" i="8"/>
  <c r="AL644" i="8"/>
  <c r="AL645" i="8"/>
  <c r="AL646" i="8"/>
  <c r="AL647" i="8"/>
  <c r="AL648" i="8"/>
  <c r="AL649" i="8"/>
  <c r="AL650" i="8"/>
  <c r="AL651" i="8"/>
  <c r="AL652" i="8"/>
  <c r="AL653" i="8"/>
  <c r="AL654" i="8"/>
  <c r="AL655" i="8"/>
  <c r="AL656" i="8"/>
  <c r="AL657" i="8"/>
  <c r="AL658" i="8"/>
  <c r="AL659" i="8"/>
  <c r="AL660" i="8"/>
  <c r="AL661" i="8"/>
  <c r="AL662" i="8"/>
  <c r="AL663" i="8"/>
  <c r="AL664" i="8"/>
  <c r="AL665" i="8"/>
  <c r="AL666" i="8"/>
  <c r="AL667" i="8"/>
  <c r="AL668" i="8"/>
  <c r="AL669" i="8"/>
  <c r="AL670" i="8"/>
  <c r="AL671" i="8"/>
  <c r="AL672" i="8"/>
  <c r="AL673" i="8"/>
  <c r="AL674" i="8"/>
  <c r="AL675" i="8"/>
  <c r="AL676" i="8"/>
  <c r="AL677" i="8"/>
  <c r="AL681" i="8"/>
  <c r="AL682" i="8"/>
  <c r="AL683" i="8"/>
  <c r="AL684" i="8"/>
  <c r="AL685" i="8"/>
  <c r="AL686" i="8"/>
  <c r="AL687" i="8"/>
  <c r="AL688" i="8"/>
  <c r="AL689" i="8"/>
  <c r="AL690" i="8"/>
  <c r="AL691" i="8"/>
  <c r="AL692" i="8"/>
  <c r="AL693" i="8"/>
  <c r="AL694" i="8"/>
  <c r="AL695" i="8"/>
  <c r="AL696" i="8"/>
  <c r="AL697" i="8"/>
  <c r="AL698" i="8"/>
  <c r="AL699" i="8"/>
  <c r="AL700" i="8"/>
  <c r="AL701" i="8"/>
  <c r="AL702" i="8"/>
  <c r="AL703" i="8"/>
  <c r="AL704" i="8"/>
  <c r="AL705" i="8"/>
  <c r="AL706" i="8"/>
  <c r="AL707" i="8"/>
  <c r="AL708" i="8"/>
  <c r="AL709" i="8"/>
  <c r="AL710" i="8"/>
  <c r="AL711" i="8"/>
  <c r="AL712" i="8"/>
  <c r="AL713" i="8"/>
  <c r="AL714" i="8"/>
  <c r="AL715" i="8"/>
  <c r="AL716" i="8"/>
  <c r="AL717" i="8"/>
  <c r="AL718" i="8"/>
  <c r="AL719" i="8"/>
  <c r="AL720" i="8"/>
  <c r="AL721" i="8"/>
  <c r="AL722" i="8"/>
  <c r="AL723" i="8"/>
  <c r="AL724" i="8"/>
  <c r="AK9" i="8"/>
  <c r="AK10" i="8"/>
  <c r="AK11" i="8"/>
  <c r="AK12" i="8"/>
  <c r="AK13" i="8"/>
  <c r="AK14" i="8"/>
  <c r="AM14" i="8" s="1"/>
  <c r="AK15" i="8"/>
  <c r="AK16" i="8"/>
  <c r="AK17" i="8"/>
  <c r="AK18" i="8"/>
  <c r="AM18" i="8" s="1"/>
  <c r="AK19" i="8"/>
  <c r="AK20" i="8"/>
  <c r="AK21" i="8"/>
  <c r="AK22" i="8"/>
  <c r="AM22" i="8" s="1"/>
  <c r="AK23" i="8"/>
  <c r="AM36" i="8"/>
  <c r="AM48" i="8"/>
  <c r="AM64" i="8"/>
  <c r="AM95" i="8"/>
  <c r="AM108" i="8"/>
  <c r="AM136" i="8"/>
  <c r="AM167" i="8"/>
  <c r="AM171" i="8"/>
  <c r="AM195" i="8"/>
  <c r="AM223" i="8"/>
  <c r="AM258" i="8"/>
  <c r="AM298" i="8"/>
  <c r="AM321" i="8"/>
  <c r="AM365" i="8"/>
  <c r="AM388" i="8"/>
  <c r="AM418" i="8"/>
  <c r="AM434" i="8"/>
  <c r="AM450" i="8"/>
  <c r="AK506" i="8"/>
  <c r="AK507" i="8"/>
  <c r="AK508" i="8"/>
  <c r="AK509" i="8"/>
  <c r="AK510" i="8"/>
  <c r="AK511" i="8"/>
  <c r="AK512" i="8"/>
  <c r="AK513" i="8"/>
  <c r="AK514" i="8"/>
  <c r="AK515" i="8"/>
  <c r="AK516" i="8"/>
  <c r="AK517" i="8"/>
  <c r="AK518" i="8"/>
  <c r="AK519" i="8"/>
  <c r="AK520" i="8"/>
  <c r="AK521" i="8"/>
  <c r="AK522" i="8"/>
  <c r="AK523" i="8"/>
  <c r="AK524" i="8"/>
  <c r="AK525" i="8"/>
  <c r="AK526" i="8"/>
  <c r="AK527" i="8"/>
  <c r="AK528" i="8"/>
  <c r="AK529" i="8"/>
  <c r="AK530" i="8"/>
  <c r="AK534" i="8"/>
  <c r="AK535" i="8"/>
  <c r="AK536" i="8"/>
  <c r="AK537" i="8"/>
  <c r="AK538" i="8"/>
  <c r="AK539" i="8"/>
  <c r="AK540" i="8"/>
  <c r="AK541" i="8"/>
  <c r="AK542" i="8"/>
  <c r="AK543" i="8"/>
  <c r="AK544" i="8"/>
  <c r="AK545" i="8"/>
  <c r="AK546" i="8"/>
  <c r="AK547" i="8"/>
  <c r="AK548" i="8"/>
  <c r="AK549" i="8"/>
  <c r="AK550" i="8"/>
  <c r="AK551" i="8"/>
  <c r="AK552" i="8"/>
  <c r="AK553" i="8"/>
  <c r="AK554" i="8"/>
  <c r="AK555" i="8"/>
  <c r="AK556" i="8"/>
  <c r="AK557" i="8"/>
  <c r="AK558" i="8"/>
  <c r="AK559" i="8"/>
  <c r="AK560" i="8"/>
  <c r="AK561" i="8"/>
  <c r="AK562" i="8"/>
  <c r="AK563" i="8"/>
  <c r="AK564" i="8"/>
  <c r="AK565" i="8"/>
  <c r="AK566" i="8"/>
  <c r="AK567" i="8"/>
  <c r="AK568" i="8"/>
  <c r="AK569" i="8"/>
  <c r="AK570" i="8"/>
  <c r="AK571" i="8"/>
  <c r="AK572" i="8"/>
  <c r="AK573" i="8"/>
  <c r="AK574" i="8"/>
  <c r="AK575" i="8"/>
  <c r="AK576" i="8"/>
  <c r="AK577" i="8"/>
  <c r="AK578" i="8"/>
  <c r="AK579" i="8"/>
  <c r="AK580" i="8"/>
  <c r="AK581" i="8"/>
  <c r="AK582" i="8"/>
  <c r="AK583" i="8"/>
  <c r="AK584" i="8"/>
  <c r="AK585" i="8"/>
  <c r="AK586" i="8"/>
  <c r="AK587" i="8"/>
  <c r="AK588" i="8"/>
  <c r="AK589" i="8"/>
  <c r="AK590" i="8"/>
  <c r="AK591" i="8"/>
  <c r="AK592" i="8"/>
  <c r="AK593" i="8"/>
  <c r="AK594" i="8"/>
  <c r="AK595" i="8"/>
  <c r="AK596" i="8"/>
  <c r="AK597" i="8"/>
  <c r="AK598" i="8"/>
  <c r="AK599" i="8"/>
  <c r="AK600" i="8"/>
  <c r="AK601" i="8"/>
  <c r="AK602" i="8"/>
  <c r="AK603" i="8"/>
  <c r="AK604" i="8"/>
  <c r="AK608" i="8"/>
  <c r="AK609" i="8"/>
  <c r="AK610" i="8"/>
  <c r="AK611" i="8"/>
  <c r="AK612" i="8"/>
  <c r="AK613" i="8"/>
  <c r="AK614" i="8"/>
  <c r="AK615" i="8"/>
  <c r="AK616" i="8"/>
  <c r="AK617" i="8"/>
  <c r="AK618" i="8"/>
  <c r="AK619" i="8"/>
  <c r="AK620" i="8"/>
  <c r="AK621" i="8"/>
  <c r="AK622" i="8"/>
  <c r="AK623" i="8"/>
  <c r="AK624" i="8"/>
  <c r="AK625" i="8"/>
  <c r="AK626" i="8"/>
  <c r="AK627" i="8"/>
  <c r="AK628" i="8"/>
  <c r="AK629" i="8"/>
  <c r="AK630" i="8"/>
  <c r="AK631" i="8"/>
  <c r="AK632" i="8"/>
  <c r="AK633" i="8"/>
  <c r="AK634" i="8"/>
  <c r="AK635" i="8"/>
  <c r="AK636" i="8"/>
  <c r="AK637" i="8"/>
  <c r="AK638" i="8"/>
  <c r="AK639" i="8"/>
  <c r="AK640" i="8"/>
  <c r="AK641" i="8"/>
  <c r="AK642" i="8"/>
  <c r="AK643" i="8"/>
  <c r="AK644" i="8"/>
  <c r="AK645" i="8"/>
  <c r="AK646" i="8"/>
  <c r="AK647" i="8"/>
  <c r="AK648" i="8"/>
  <c r="AK649" i="8"/>
  <c r="AK650" i="8"/>
  <c r="AK651" i="8"/>
  <c r="AK652" i="8"/>
  <c r="AK653" i="8"/>
  <c r="AK654" i="8"/>
  <c r="AK655" i="8"/>
  <c r="AK656" i="8"/>
  <c r="AK657" i="8"/>
  <c r="AK658" i="8"/>
  <c r="AK659" i="8"/>
  <c r="AK660" i="8"/>
  <c r="AK661" i="8"/>
  <c r="AK662" i="8"/>
  <c r="AK663" i="8"/>
  <c r="AK664" i="8"/>
  <c r="AK665" i="8"/>
  <c r="AK666" i="8"/>
  <c r="AK667" i="8"/>
  <c r="AK668" i="8"/>
  <c r="AK669" i="8"/>
  <c r="AK670" i="8"/>
  <c r="AK671" i="8"/>
  <c r="AK672" i="8"/>
  <c r="AK673" i="8"/>
  <c r="AK674" i="8"/>
  <c r="AK675" i="8"/>
  <c r="AK676" i="8"/>
  <c r="AK677" i="8"/>
  <c r="AK681" i="8"/>
  <c r="AK682" i="8"/>
  <c r="AK683" i="8"/>
  <c r="AK684" i="8"/>
  <c r="AK685" i="8"/>
  <c r="AK686" i="8"/>
  <c r="AK687" i="8"/>
  <c r="AK688" i="8"/>
  <c r="AK689" i="8"/>
  <c r="AK690" i="8"/>
  <c r="AK691" i="8"/>
  <c r="AK692" i="8"/>
  <c r="AK693" i="8"/>
  <c r="AK694" i="8"/>
  <c r="AK695" i="8"/>
  <c r="AK696" i="8"/>
  <c r="AK697" i="8"/>
  <c r="AK698" i="8"/>
  <c r="AK699" i="8"/>
  <c r="AK700" i="8"/>
  <c r="AK701" i="8"/>
  <c r="AK702" i="8"/>
  <c r="AK703" i="8"/>
  <c r="AK704" i="8"/>
  <c r="AK705" i="8"/>
  <c r="AK706" i="8"/>
  <c r="AK707" i="8"/>
  <c r="AK708" i="8"/>
  <c r="AK709" i="8"/>
  <c r="AK710" i="8"/>
  <c r="AK711" i="8"/>
  <c r="AK712" i="8"/>
  <c r="AK713" i="8"/>
  <c r="AK714" i="8"/>
  <c r="AK715" i="8"/>
  <c r="AK716" i="8"/>
  <c r="AK717" i="8"/>
  <c r="AK718" i="8"/>
  <c r="AK719" i="8"/>
  <c r="AK720" i="8"/>
  <c r="AK721" i="8"/>
  <c r="AK722" i="8"/>
  <c r="AK723" i="8"/>
  <c r="AK724" i="8"/>
  <c r="AI16" i="8"/>
  <c r="AL16" i="2" s="1"/>
  <c r="AI17" i="8"/>
  <c r="AL17" i="2" s="1"/>
  <c r="AI19" i="8"/>
  <c r="AL19" i="2" s="1"/>
  <c r="AI21" i="8"/>
  <c r="AL21" i="2" s="1"/>
  <c r="AI22" i="8"/>
  <c r="AL22" i="2" s="1"/>
  <c r="AI24" i="8"/>
  <c r="AL24" i="2" s="1"/>
  <c r="AI31" i="8"/>
  <c r="AL31" i="2" s="1"/>
  <c r="AI34" i="8"/>
  <c r="AI36" i="8"/>
  <c r="AL36" i="2" s="1"/>
  <c r="AI37" i="8"/>
  <c r="AI39" i="8"/>
  <c r="AI41" i="8"/>
  <c r="AL41" i="2" s="1"/>
  <c r="AI46" i="8"/>
  <c r="AL46" i="2" s="1"/>
  <c r="AI47" i="8"/>
  <c r="AI49" i="8"/>
  <c r="AI51" i="8"/>
  <c r="AL51" i="2" s="1"/>
  <c r="AI53" i="8"/>
  <c r="AI55" i="8"/>
  <c r="AI58" i="8"/>
  <c r="AL58" i="2" s="1"/>
  <c r="AI59" i="8"/>
  <c r="AL59" i="2" s="1"/>
  <c r="AI60" i="8"/>
  <c r="AI65" i="8"/>
  <c r="AL65" i="2" s="1"/>
  <c r="AI66" i="8"/>
  <c r="AL66" i="2" s="1"/>
  <c r="AI67" i="8"/>
  <c r="AL67" i="2" s="1"/>
  <c r="AI68" i="8"/>
  <c r="AL68" i="2" s="1"/>
  <c r="AI73" i="8"/>
  <c r="AL73" i="2" s="1"/>
  <c r="AI77" i="8"/>
  <c r="AL80" i="2" s="1"/>
  <c r="AI83" i="8"/>
  <c r="AL83" i="2" s="1"/>
  <c r="AI84" i="8"/>
  <c r="AI88" i="8"/>
  <c r="AL88" i="2" s="1"/>
  <c r="AI89" i="8"/>
  <c r="AL89" i="2" s="1"/>
  <c r="AI91" i="8"/>
  <c r="AL91" i="2" s="1"/>
  <c r="AI92" i="8"/>
  <c r="AL92" i="2" s="1"/>
  <c r="AI95" i="8"/>
  <c r="AL95" i="2" s="1"/>
  <c r="AI97" i="8"/>
  <c r="AL97" i="2" s="1"/>
  <c r="AI98" i="8"/>
  <c r="AL98" i="2" s="1"/>
  <c r="AI99" i="8"/>
  <c r="AL99" i="2" s="1"/>
  <c r="AI100" i="8"/>
  <c r="AL100" i="2" s="1"/>
  <c r="AI104" i="8"/>
  <c r="AL104" i="2" s="1"/>
  <c r="AI105" i="8"/>
  <c r="AL105" i="2" s="1"/>
  <c r="AI106" i="8"/>
  <c r="AL106" i="2" s="1"/>
  <c r="AI107" i="8"/>
  <c r="AL107" i="2" s="1"/>
  <c r="AI108" i="8"/>
  <c r="AL108" i="2" s="1"/>
  <c r="AI109" i="8"/>
  <c r="AL109" i="2" s="1"/>
  <c r="AI110" i="8"/>
  <c r="AL110" i="2" s="1"/>
  <c r="AI115" i="8"/>
  <c r="AI117" i="8"/>
  <c r="AI118" i="8"/>
  <c r="AL118" i="2" s="1"/>
  <c r="AI121" i="8"/>
  <c r="AL121" i="2" s="1"/>
  <c r="AI123" i="8"/>
  <c r="AI124" i="8"/>
  <c r="AL124" i="2" s="1"/>
  <c r="AI130" i="8"/>
  <c r="AL130" i="2" s="1"/>
  <c r="AI133" i="8"/>
  <c r="AL133" i="2" s="1"/>
  <c r="AI137" i="8"/>
  <c r="AL137" i="2" s="1"/>
  <c r="AI139" i="8"/>
  <c r="AL139" i="2" s="1"/>
  <c r="AI142" i="8"/>
  <c r="AI143" i="8"/>
  <c r="AL143" i="2" s="1"/>
  <c r="AI144" i="8"/>
  <c r="AL144" i="2" s="1"/>
  <c r="AI147" i="8"/>
  <c r="AI149" i="8"/>
  <c r="AI152" i="8"/>
  <c r="AL155" i="2" s="1"/>
  <c r="AI153" i="8"/>
  <c r="AL156" i="2" s="1"/>
  <c r="AI154" i="8"/>
  <c r="AL157" i="2" s="1"/>
  <c r="AI155" i="8"/>
  <c r="AL158" i="2" s="1"/>
  <c r="AI156" i="8"/>
  <c r="AL159" i="2" s="1"/>
  <c r="AI162" i="8"/>
  <c r="AI164" i="8"/>
  <c r="AI167" i="8"/>
  <c r="AI168" i="8"/>
  <c r="AL168" i="2" s="1"/>
  <c r="AI169" i="8"/>
  <c r="AL169" i="2" s="1"/>
  <c r="AI171" i="8"/>
  <c r="AL171" i="2" s="1"/>
  <c r="AI173" i="8"/>
  <c r="AL173" i="2" s="1"/>
  <c r="AI176" i="8"/>
  <c r="AI177" i="8"/>
  <c r="AI179" i="8"/>
  <c r="AL179" i="2" s="1"/>
  <c r="AI182" i="8"/>
  <c r="AL182" i="2" s="1"/>
  <c r="AI183" i="8"/>
  <c r="AL183" i="2" s="1"/>
  <c r="AI184" i="8"/>
  <c r="AL184" i="2" s="1"/>
  <c r="AI185" i="8"/>
  <c r="AL185" i="2" s="1"/>
  <c r="AI186" i="8"/>
  <c r="AL186" i="2" s="1"/>
  <c r="AI187" i="8"/>
  <c r="AL187" i="2" s="1"/>
  <c r="AI188" i="8"/>
  <c r="AL188" i="2" s="1"/>
  <c r="AI190" i="8"/>
  <c r="AL190" i="2" s="1"/>
  <c r="AI192" i="8"/>
  <c r="AL192" i="2" s="1"/>
  <c r="AI193" i="8"/>
  <c r="AI194" i="8"/>
  <c r="AL194" i="2" s="1"/>
  <c r="AI196" i="8"/>
  <c r="AL196" i="2" s="1"/>
  <c r="AI197" i="8"/>
  <c r="AL197" i="2" s="1"/>
  <c r="AI202" i="8"/>
  <c r="AI203" i="8"/>
  <c r="AI205" i="8"/>
  <c r="AL205" i="2" s="1"/>
  <c r="AI207" i="8"/>
  <c r="AL207" i="2" s="1"/>
  <c r="AI210" i="8"/>
  <c r="AL210" i="2" s="1"/>
  <c r="AI211" i="8"/>
  <c r="AL211" i="2" s="1"/>
  <c r="AI213" i="8"/>
  <c r="AL213" i="2" s="1"/>
  <c r="AI214" i="8"/>
  <c r="AI216" i="8"/>
  <c r="AL216" i="2" s="1"/>
  <c r="AI217" i="8"/>
  <c r="AI218" i="8"/>
  <c r="AL218" i="2" s="1"/>
  <c r="AI222" i="8"/>
  <c r="AL225" i="2" s="1"/>
  <c r="AI224" i="8"/>
  <c r="AL227" i="2" s="1"/>
  <c r="AI232" i="8"/>
  <c r="AL235" i="2" s="1"/>
  <c r="AI234" i="8"/>
  <c r="AL237" i="2" s="1"/>
  <c r="AI238" i="8"/>
  <c r="AL238" i="2" s="1"/>
  <c r="AI244" i="8"/>
  <c r="AI245" i="8"/>
  <c r="AI246" i="8"/>
  <c r="AL246" i="2" s="1"/>
  <c r="AI249" i="8"/>
  <c r="AI251" i="8"/>
  <c r="AL251" i="2" s="1"/>
  <c r="AI255" i="8"/>
  <c r="AL255" i="2" s="1"/>
  <c r="AI257" i="8"/>
  <c r="AI258" i="8"/>
  <c r="AL258" i="2" s="1"/>
  <c r="AI261" i="8"/>
  <c r="AL261" i="2" s="1"/>
  <c r="AI264" i="8"/>
  <c r="AL264" i="2" s="1"/>
  <c r="AI265" i="8"/>
  <c r="AL265" i="2" s="1"/>
  <c r="AI266" i="8"/>
  <c r="AI267" i="8"/>
  <c r="AL267" i="2" s="1"/>
  <c r="AI277" i="8"/>
  <c r="AL277" i="2" s="1"/>
  <c r="AI278" i="8"/>
  <c r="AI280" i="8"/>
  <c r="AL280" i="2" s="1"/>
  <c r="AI281" i="8"/>
  <c r="AL281" i="2" s="1"/>
  <c r="AI288" i="8"/>
  <c r="AI289" i="8"/>
  <c r="AL289" i="2" s="1"/>
  <c r="AI291" i="8"/>
  <c r="AL291" i="2" s="1"/>
  <c r="AI294" i="8"/>
  <c r="AL297" i="2" s="1"/>
  <c r="AI295" i="8"/>
  <c r="AI296" i="8"/>
  <c r="AI297" i="8"/>
  <c r="AL300" i="2" s="1"/>
  <c r="AI299" i="8"/>
  <c r="AL302" i="2" s="1"/>
  <c r="AI300" i="8"/>
  <c r="AL303" i="2" s="1"/>
  <c r="AI302" i="8"/>
  <c r="AL305" i="2" s="1"/>
  <c r="AI305" i="8"/>
  <c r="AL308" i="2" s="1"/>
  <c r="AI307" i="8"/>
  <c r="AI313" i="8"/>
  <c r="AL313" i="2" s="1"/>
  <c r="AI314" i="8"/>
  <c r="AL314" i="2" s="1"/>
  <c r="AI317" i="8"/>
  <c r="AL317" i="2" s="1"/>
  <c r="AI321" i="8"/>
  <c r="AI322" i="8"/>
  <c r="AI323" i="8"/>
  <c r="AI324" i="8"/>
  <c r="AL324" i="2" s="1"/>
  <c r="AI327" i="8"/>
  <c r="AL327" i="2" s="1"/>
  <c r="AI328" i="8"/>
  <c r="AI330" i="8"/>
  <c r="AL330" i="2" s="1"/>
  <c r="AI332" i="8"/>
  <c r="AL332" i="2" s="1"/>
  <c r="AI333" i="8"/>
  <c r="AL333" i="2" s="1"/>
  <c r="AI334" i="8"/>
  <c r="AL334" i="2" s="1"/>
  <c r="AI335" i="8"/>
  <c r="AL335" i="2" s="1"/>
  <c r="AI336" i="8"/>
  <c r="AL336" i="2" s="1"/>
  <c r="AI337" i="8"/>
  <c r="AL337" i="2" s="1"/>
  <c r="AI342" i="8"/>
  <c r="AI346" i="8"/>
  <c r="AL346" i="2" s="1"/>
  <c r="AI349" i="8"/>
  <c r="AL349" i="2" s="1"/>
  <c r="AI355" i="8"/>
  <c r="AI356" i="8"/>
  <c r="AI357" i="8"/>
  <c r="AL357" i="2" s="1"/>
  <c r="AI358" i="8"/>
  <c r="AL358" i="2" s="1"/>
  <c r="AI361" i="8"/>
  <c r="AL361" i="2" s="1"/>
  <c r="AI362" i="8"/>
  <c r="AI363" i="8"/>
  <c r="AL366" i="2" s="1"/>
  <c r="AI364" i="8"/>
  <c r="AL367" i="2" s="1"/>
  <c r="AI366" i="8"/>
  <c r="AL369" i="2" s="1"/>
  <c r="AI367" i="8"/>
  <c r="AL370" i="2" s="1"/>
  <c r="AI368" i="8"/>
  <c r="AI369" i="8"/>
  <c r="AL372" i="2" s="1"/>
  <c r="AI370" i="8"/>
  <c r="AL373" i="2" s="1"/>
  <c r="AI371" i="8"/>
  <c r="AL374" i="2" s="1"/>
  <c r="AI373" i="8"/>
  <c r="AI374" i="8"/>
  <c r="AL377" i="2" s="1"/>
  <c r="AI379" i="8"/>
  <c r="AL382" i="2" s="1"/>
  <c r="AI380" i="8"/>
  <c r="AL383" i="2" s="1"/>
  <c r="AI381" i="8"/>
  <c r="AL384" i="2" s="1"/>
  <c r="AI386" i="8"/>
  <c r="AI387" i="8"/>
  <c r="AL387" i="2" s="1"/>
  <c r="AI389" i="8"/>
  <c r="AL389" i="2" s="1"/>
  <c r="AI393" i="8"/>
  <c r="AI397" i="8"/>
  <c r="AI399" i="8"/>
  <c r="AL399" i="2" s="1"/>
  <c r="AI400" i="8"/>
  <c r="AI401" i="8"/>
  <c r="AL401" i="2" s="1"/>
  <c r="AI403" i="8"/>
  <c r="AL403" i="2" s="1"/>
  <c r="AI405" i="8"/>
  <c r="AL405" i="2" s="1"/>
  <c r="AI406" i="8"/>
  <c r="AL406" i="2" s="1"/>
  <c r="AI408" i="8"/>
  <c r="AL408" i="2" s="1"/>
  <c r="AI409" i="8"/>
  <c r="AI410" i="8"/>
  <c r="AL410" i="2" s="1"/>
  <c r="AI416" i="8"/>
  <c r="AL416" i="2" s="1"/>
  <c r="AI421" i="8"/>
  <c r="AL421" i="2" s="1"/>
  <c r="AI424" i="8"/>
  <c r="AL424" i="2" s="1"/>
  <c r="AI425" i="8"/>
  <c r="AI426" i="8"/>
  <c r="AI427" i="8"/>
  <c r="AL427" i="2" s="1"/>
  <c r="AI432" i="8"/>
  <c r="AI436" i="8"/>
  <c r="AI437" i="8"/>
  <c r="AI438" i="8"/>
  <c r="AL441" i="2" s="1"/>
  <c r="AI442" i="8"/>
  <c r="AI444" i="8"/>
  <c r="AI446" i="8"/>
  <c r="AL449" i="2" s="1"/>
  <c r="AI450" i="8"/>
  <c r="AL453" i="2" s="1"/>
  <c r="AI451" i="8"/>
  <c r="AI453" i="8"/>
  <c r="AL456" i="2" s="1"/>
  <c r="AI455" i="8"/>
  <c r="AL458" i="2" s="1"/>
  <c r="AI456" i="8"/>
  <c r="AL459" i="2" s="1"/>
  <c r="AI460" i="8"/>
  <c r="AL460" i="2" s="1"/>
  <c r="AI461" i="8"/>
  <c r="AL461" i="2" s="1"/>
  <c r="AI463" i="8"/>
  <c r="AI465" i="8"/>
  <c r="AI466" i="8"/>
  <c r="AL466" i="2" s="1"/>
  <c r="AI467" i="8"/>
  <c r="AL467" i="2" s="1"/>
  <c r="AI473" i="8"/>
  <c r="AL473" i="2" s="1"/>
  <c r="AI474" i="8"/>
  <c r="AL474" i="2" s="1"/>
  <c r="AI476" i="8"/>
  <c r="AL476" i="2" s="1"/>
  <c r="AI477" i="8"/>
  <c r="AL477" i="2" s="1"/>
  <c r="AI478" i="8"/>
  <c r="AI479" i="8"/>
  <c r="AL479" i="2" s="1"/>
  <c r="AI480" i="8"/>
  <c r="AL480" i="2" s="1"/>
  <c r="AI481" i="8"/>
  <c r="AI486" i="8"/>
  <c r="AL486" i="2" s="1"/>
  <c r="AI488" i="8"/>
  <c r="AL488" i="2" s="1"/>
  <c r="AI492" i="8"/>
  <c r="AL492" i="2" s="1"/>
  <c r="AI497" i="8"/>
  <c r="AL497" i="2" s="1"/>
  <c r="AI501" i="8"/>
  <c r="AL504" i="2" s="1"/>
  <c r="AI504" i="8"/>
  <c r="AL507" i="2" s="1"/>
  <c r="AI505" i="8"/>
  <c r="AL508" i="2" s="1"/>
  <c r="AI511" i="8"/>
  <c r="AL514" i="2" s="1"/>
  <c r="AI513" i="8"/>
  <c r="AL516" i="2" s="1"/>
  <c r="AI514" i="8"/>
  <c r="AL517" i="2" s="1"/>
  <c r="AI516" i="8"/>
  <c r="AL519" i="2" s="1"/>
  <c r="AI519" i="8"/>
  <c r="AL522" i="2" s="1"/>
  <c r="AI521" i="8"/>
  <c r="AL524" i="2" s="1"/>
  <c r="AI524" i="8"/>
  <c r="AL527" i="2" s="1"/>
  <c r="AI525" i="8"/>
  <c r="AL528" i="2" s="1"/>
  <c r="AI526" i="8"/>
  <c r="AL529" i="2" s="1"/>
  <c r="AI527" i="8"/>
  <c r="AL530" i="2" s="1"/>
  <c r="AI528" i="8"/>
  <c r="AL531" i="2" s="1"/>
  <c r="AI529" i="8"/>
  <c r="AL532" i="2" s="1"/>
  <c r="AI530" i="8"/>
  <c r="AL533" i="2" s="1"/>
  <c r="AI534" i="8"/>
  <c r="AL534" i="2" s="1"/>
  <c r="AI536" i="8"/>
  <c r="AL536" i="2" s="1"/>
  <c r="AI537" i="8"/>
  <c r="AL537" i="2" s="1"/>
  <c r="AI538" i="8"/>
  <c r="AL538" i="2" s="1"/>
  <c r="AI539" i="8"/>
  <c r="AL539" i="2" s="1"/>
  <c r="AI540" i="8"/>
  <c r="AL540" i="2" s="1"/>
  <c r="AI541" i="8"/>
  <c r="AL541" i="2" s="1"/>
  <c r="AI542" i="8"/>
  <c r="AL542" i="2" s="1"/>
  <c r="AI543" i="8"/>
  <c r="AL543" i="2" s="1"/>
  <c r="AI544" i="8"/>
  <c r="AL544" i="2" s="1"/>
  <c r="AI548" i="8"/>
  <c r="AL548" i="2" s="1"/>
  <c r="AI551" i="8"/>
  <c r="AL551" i="2" s="1"/>
  <c r="AI552" i="8"/>
  <c r="AL552" i="2" s="1"/>
  <c r="AI556" i="8"/>
  <c r="AL556" i="2" s="1"/>
  <c r="AI557" i="8"/>
  <c r="AL557" i="2" s="1"/>
  <c r="AI558" i="8"/>
  <c r="AL558" i="2" s="1"/>
  <c r="AI559" i="8"/>
  <c r="AL559" i="2" s="1"/>
  <c r="AI563" i="8"/>
  <c r="AL563" i="2" s="1"/>
  <c r="AI564" i="8"/>
  <c r="AL564" i="2" s="1"/>
  <c r="AI565" i="8"/>
  <c r="AL565" i="2" s="1"/>
  <c r="AI566" i="8"/>
  <c r="AL566" i="2" s="1"/>
  <c r="AI568" i="8"/>
  <c r="AL568" i="2" s="1"/>
  <c r="AI572" i="8"/>
  <c r="AL575" i="2" s="1"/>
  <c r="AI573" i="8"/>
  <c r="AL576" i="2" s="1"/>
  <c r="AI574" i="8"/>
  <c r="AL577" i="2" s="1"/>
  <c r="AI576" i="8"/>
  <c r="AL579" i="2" s="1"/>
  <c r="AI577" i="8"/>
  <c r="AL580" i="2" s="1"/>
  <c r="AI578" i="8"/>
  <c r="AL581" i="2" s="1"/>
  <c r="AI579" i="8"/>
  <c r="AL582" i="2" s="1"/>
  <c r="AI580" i="8"/>
  <c r="AL583" i="2" s="1"/>
  <c r="AI582" i="8"/>
  <c r="AL585" i="2" s="1"/>
  <c r="AI585" i="8"/>
  <c r="AL588" i="2" s="1"/>
  <c r="AI588" i="8"/>
  <c r="AL591" i="2" s="1"/>
  <c r="AI589" i="8"/>
  <c r="AL592" i="2" s="1"/>
  <c r="AI590" i="8"/>
  <c r="AL593" i="2" s="1"/>
  <c r="AI591" i="8"/>
  <c r="AL594" i="2" s="1"/>
  <c r="AI593" i="8"/>
  <c r="AL596" i="2" s="1"/>
  <c r="AI592" i="8"/>
  <c r="AL595" i="2" s="1"/>
  <c r="AI596" i="8"/>
  <c r="AL599" i="2" s="1"/>
  <c r="AI604" i="8"/>
  <c r="AL607" i="2" s="1"/>
  <c r="AI609" i="8"/>
  <c r="AL609" i="2" s="1"/>
  <c r="AI610" i="8"/>
  <c r="AL610" i="2" s="1"/>
  <c r="AI611" i="8"/>
  <c r="AL611" i="2" s="1"/>
  <c r="AI612" i="8"/>
  <c r="AL612" i="2" s="1"/>
  <c r="AI615" i="8"/>
  <c r="AL615" i="2" s="1"/>
  <c r="AI616" i="8"/>
  <c r="AL616" i="2" s="1"/>
  <c r="AI617" i="8"/>
  <c r="AL617" i="2" s="1"/>
  <c r="AI618" i="8"/>
  <c r="AL618" i="2" s="1"/>
  <c r="AI619" i="8"/>
  <c r="AL619" i="2" s="1"/>
  <c r="AI620" i="8"/>
  <c r="AL620" i="2" s="1"/>
  <c r="AI621" i="8"/>
  <c r="AL621" i="2" s="1"/>
  <c r="AI624" i="8"/>
  <c r="AL624" i="2" s="1"/>
  <c r="AI626" i="8"/>
  <c r="AL626" i="2" s="1"/>
  <c r="AI627" i="8"/>
  <c r="AL627" i="2" s="1"/>
  <c r="AI628" i="8"/>
  <c r="AL628" i="2" s="1"/>
  <c r="AI633" i="8"/>
  <c r="AL633" i="2" s="1"/>
  <c r="AI635" i="8"/>
  <c r="AL635" i="2" s="1"/>
  <c r="AI636" i="8"/>
  <c r="AL636" i="2" s="1"/>
  <c r="AI639" i="8"/>
  <c r="AL639" i="2" s="1"/>
  <c r="AI640" i="8"/>
  <c r="AL643" i="2" s="1"/>
  <c r="AI641" i="8"/>
  <c r="AL644" i="2" s="1"/>
  <c r="AI643" i="8"/>
  <c r="AL646" i="2" s="1"/>
  <c r="AI644" i="8"/>
  <c r="AL647" i="2" s="1"/>
  <c r="AI645" i="8"/>
  <c r="AL648" i="2" s="1"/>
  <c r="AI648" i="8"/>
  <c r="AL651" i="2" s="1"/>
  <c r="AI650" i="8"/>
  <c r="AL653" i="2" s="1"/>
  <c r="AI652" i="8"/>
  <c r="AL655" i="2" s="1"/>
  <c r="AI653" i="8"/>
  <c r="AL656" i="2" s="1"/>
  <c r="AI654" i="8"/>
  <c r="AL657" i="2" s="1"/>
  <c r="AI658" i="8"/>
  <c r="AL661" i="2" s="1"/>
  <c r="AI661" i="8"/>
  <c r="AL664" i="2" s="1"/>
  <c r="AI664" i="8"/>
  <c r="AL667" i="2" s="1"/>
  <c r="AI667" i="8"/>
  <c r="AL670" i="2" s="1"/>
  <c r="AI668" i="8"/>
  <c r="AL671" i="2" s="1"/>
  <c r="AI670" i="8"/>
  <c r="AL673" i="2" s="1"/>
  <c r="AI671" i="8"/>
  <c r="AL674" i="2" s="1"/>
  <c r="AI677" i="8"/>
  <c r="AL680" i="2" s="1"/>
  <c r="AI683" i="8"/>
  <c r="AL683" i="2" s="1"/>
  <c r="AI685" i="8"/>
  <c r="AL685" i="2" s="1"/>
  <c r="AI687" i="8"/>
  <c r="AL687" i="2" s="1"/>
  <c r="AI690" i="8"/>
  <c r="AL690" i="2" s="1"/>
  <c r="AI692" i="8"/>
  <c r="AL692" i="2" s="1"/>
  <c r="AI693" i="8"/>
  <c r="AL693" i="2" s="1"/>
  <c r="AI696" i="8"/>
  <c r="AL696" i="2" s="1"/>
  <c r="AI697" i="8"/>
  <c r="AL697" i="2" s="1"/>
  <c r="AI698" i="8"/>
  <c r="AL698" i="2" s="1"/>
  <c r="AI699" i="8"/>
  <c r="AL699" i="2" s="1"/>
  <c r="AI700" i="8"/>
  <c r="AL700" i="2" s="1"/>
  <c r="AI704" i="8"/>
  <c r="AL704" i="2" s="1"/>
  <c r="AI706" i="8"/>
  <c r="AL706" i="2" s="1"/>
  <c r="AI707" i="8"/>
  <c r="AL707" i="2" s="1"/>
  <c r="AI710" i="8"/>
  <c r="AL713" i="2" s="1"/>
  <c r="AI711" i="8"/>
  <c r="AL714" i="2" s="1"/>
  <c r="AI714" i="8"/>
  <c r="AL717" i="2" s="1"/>
  <c r="AI715" i="8"/>
  <c r="AL718" i="2" s="1"/>
  <c r="AI717" i="8"/>
  <c r="AL720" i="2" s="1"/>
  <c r="AI724" i="8"/>
  <c r="AL727" i="2" s="1"/>
  <c r="AI14" i="8"/>
  <c r="AL14" i="2" s="1"/>
  <c r="AI20" i="8"/>
  <c r="AI26" i="8"/>
  <c r="AI27" i="8"/>
  <c r="AI28" i="8"/>
  <c r="AI29" i="8"/>
  <c r="AI32" i="8"/>
  <c r="AI33" i="8"/>
  <c r="AI35" i="8"/>
  <c r="AL35" i="2" s="1"/>
  <c r="AI38" i="8"/>
  <c r="AL38" i="2" s="1"/>
  <c r="AI43" i="8"/>
  <c r="AI44" i="8"/>
  <c r="AI45" i="8"/>
  <c r="AL45" i="2" s="1"/>
  <c r="AI50" i="8"/>
  <c r="AL50" i="2" s="1"/>
  <c r="AI56" i="8"/>
  <c r="AL56" i="2" s="1"/>
  <c r="AI61" i="8"/>
  <c r="AI71" i="8"/>
  <c r="AI72" i="8"/>
  <c r="AL72" i="2" s="1"/>
  <c r="AI75" i="8"/>
  <c r="AL78" i="2" s="1"/>
  <c r="AI79" i="8"/>
  <c r="AL82" i="2" s="1"/>
  <c r="AI86" i="8"/>
  <c r="AL86" i="2" s="1"/>
  <c r="AI90" i="8"/>
  <c r="AI101" i="8"/>
  <c r="AI102" i="8"/>
  <c r="AI125" i="8"/>
  <c r="AL125" i="2" s="1"/>
  <c r="AI131" i="8"/>
  <c r="AL131" i="2" s="1"/>
  <c r="AI141" i="8"/>
  <c r="AL141" i="2" s="1"/>
  <c r="AI160" i="8"/>
  <c r="AL160" i="2" s="1"/>
  <c r="AI170" i="8"/>
  <c r="AL170" i="2" s="1"/>
  <c r="AI172" i="8"/>
  <c r="AI174" i="8"/>
  <c r="AI175" i="8"/>
  <c r="AL175" i="2" s="1"/>
  <c r="AI178" i="8"/>
  <c r="AL178" i="2" s="1"/>
  <c r="AI191" i="8"/>
  <c r="AI201" i="8"/>
  <c r="AL201" i="2" s="1"/>
  <c r="AI206" i="8"/>
  <c r="AL206" i="2" s="1"/>
  <c r="AI212" i="8"/>
  <c r="AL212" i="2" s="1"/>
  <c r="AI215" i="8"/>
  <c r="AL215" i="2" s="1"/>
  <c r="AI219" i="8"/>
  <c r="AL219" i="2" s="1"/>
  <c r="AI226" i="8"/>
  <c r="AL229" i="2" s="1"/>
  <c r="AI229" i="8"/>
  <c r="AL232" i="2" s="1"/>
  <c r="AI241" i="8"/>
  <c r="AL241" i="2" s="1"/>
  <c r="AI242" i="8"/>
  <c r="AL242" i="2" s="1"/>
  <c r="AI243" i="8"/>
  <c r="AI248" i="8"/>
  <c r="AL248" i="2" s="1"/>
  <c r="AI250" i="8"/>
  <c r="AI253" i="8"/>
  <c r="AL253" i="2" s="1"/>
  <c r="AI256" i="8"/>
  <c r="AI263" i="8"/>
  <c r="AL263" i="2" s="1"/>
  <c r="AI275" i="8"/>
  <c r="AL275" i="2" s="1"/>
  <c r="AI276" i="8"/>
  <c r="AL276" i="2" s="1"/>
  <c r="AI285" i="8"/>
  <c r="AL285" i="2" s="1"/>
  <c r="AI287" i="8"/>
  <c r="AI290" i="8"/>
  <c r="AI292" i="8"/>
  <c r="AL292" i="2" s="1"/>
  <c r="AI301" i="8"/>
  <c r="AI303" i="8"/>
  <c r="AL306" i="2" s="1"/>
  <c r="AI312" i="8"/>
  <c r="AI316" i="8"/>
  <c r="AL316" i="2" s="1"/>
  <c r="AI318" i="8"/>
  <c r="AL318" i="2" s="1"/>
  <c r="AI319" i="8"/>
  <c r="AI320" i="8"/>
  <c r="AL320" i="2" s="1"/>
  <c r="AI325" i="8"/>
  <c r="AL325" i="2" s="1"/>
  <c r="AI338" i="8"/>
  <c r="AL338" i="2" s="1"/>
  <c r="AI339" i="8"/>
  <c r="AL339" i="2" s="1"/>
  <c r="AI344" i="8"/>
  <c r="AI353" i="8"/>
  <c r="AI359" i="8"/>
  <c r="AL359" i="2" s="1"/>
  <c r="AI375" i="8"/>
  <c r="AL378" i="2" s="1"/>
  <c r="AI378" i="8"/>
  <c r="AL381" i="2" s="1"/>
  <c r="AI388" i="8"/>
  <c r="AI390" i="8"/>
  <c r="AL390" i="2" s="1"/>
  <c r="AI395" i="8"/>
  <c r="AL395" i="2" s="1"/>
  <c r="AI402" i="8"/>
  <c r="AL402" i="2" s="1"/>
  <c r="AI404" i="8"/>
  <c r="AL404" i="2" s="1"/>
  <c r="AI412" i="8"/>
  <c r="AL412" i="2" s="1"/>
  <c r="AI413" i="8"/>
  <c r="AI415" i="8"/>
  <c r="AI417" i="8"/>
  <c r="AL417" i="2" s="1"/>
  <c r="AI418" i="8"/>
  <c r="AI419" i="8"/>
  <c r="AI422" i="8"/>
  <c r="AL422" i="2" s="1"/>
  <c r="AI423" i="8"/>
  <c r="AL423" i="2" s="1"/>
  <c r="AI433" i="8"/>
  <c r="AL436" i="2" s="1"/>
  <c r="AI434" i="8"/>
  <c r="AL437" i="2" s="1"/>
  <c r="AI440" i="8"/>
  <c r="AL443" i="2" s="1"/>
  <c r="AI441" i="8"/>
  <c r="AI449" i="8"/>
  <c r="AL452" i="2" s="1"/>
  <c r="AI452" i="8"/>
  <c r="AL455" i="2" s="1"/>
  <c r="AI464" i="8"/>
  <c r="AI468" i="8"/>
  <c r="AL468" i="2" s="1"/>
  <c r="AI469" i="8"/>
  <c r="AL469" i="2" s="1"/>
  <c r="AI475" i="8"/>
  <c r="AL475" i="2" s="1"/>
  <c r="AI482" i="8"/>
  <c r="AI483" i="8"/>
  <c r="AI484" i="8"/>
  <c r="AI485" i="8"/>
  <c r="AI487" i="8"/>
  <c r="AL487" i="2" s="1"/>
  <c r="AI490" i="8"/>
  <c r="AL490" i="2" s="1"/>
  <c r="AI493" i="8"/>
  <c r="AL493" i="2" s="1"/>
  <c r="AI495" i="8"/>
  <c r="AL495" i="2" s="1"/>
  <c r="AI500" i="8"/>
  <c r="AL500" i="2" s="1"/>
  <c r="AI502" i="8"/>
  <c r="AL505" i="2" s="1"/>
  <c r="AI510" i="8"/>
  <c r="AL513" i="2" s="1"/>
  <c r="AI515" i="8"/>
  <c r="AL518" i="2" s="1"/>
  <c r="AI518" i="8"/>
  <c r="AL521" i="2" s="1"/>
  <c r="AI520" i="8"/>
  <c r="AL523" i="2" s="1"/>
  <c r="AI523" i="8"/>
  <c r="AL526" i="2" s="1"/>
  <c r="AI549" i="8"/>
  <c r="AL549" i="2" s="1"/>
  <c r="AI555" i="8"/>
  <c r="AL555" i="2" s="1"/>
  <c r="AI560" i="8"/>
  <c r="AL560" i="2" s="1"/>
  <c r="AI561" i="8"/>
  <c r="AL561" i="2" s="1"/>
  <c r="AI567" i="8"/>
  <c r="AL567" i="2" s="1"/>
  <c r="AI575" i="8"/>
  <c r="AL578" i="2" s="1"/>
  <c r="AI581" i="8"/>
  <c r="AL584" i="2" s="1"/>
  <c r="AI583" i="8"/>
  <c r="AL586" i="2" s="1"/>
  <c r="AI584" i="8"/>
  <c r="AL587" i="2" s="1"/>
  <c r="AI594" i="8"/>
  <c r="AL597" i="2" s="1"/>
  <c r="AI597" i="8"/>
  <c r="AL600" i="2" s="1"/>
  <c r="AI598" i="8"/>
  <c r="AL601" i="2" s="1"/>
  <c r="AI599" i="8"/>
  <c r="AL602" i="2" s="1"/>
  <c r="AI600" i="8"/>
  <c r="AL603" i="2" s="1"/>
  <c r="AI602" i="8"/>
  <c r="AL605" i="2" s="1"/>
  <c r="AI608" i="8"/>
  <c r="AL608" i="2" s="1"/>
  <c r="AI613" i="8"/>
  <c r="AL613" i="2" s="1"/>
  <c r="AI623" i="8"/>
  <c r="AL623" i="2" s="1"/>
  <c r="AI625" i="8"/>
  <c r="AL625" i="2" s="1"/>
  <c r="AI629" i="8"/>
  <c r="AL629" i="2" s="1"/>
  <c r="AI630" i="8"/>
  <c r="AL630" i="2" s="1"/>
  <c r="AI634" i="8"/>
  <c r="AL634" i="2" s="1"/>
  <c r="AI646" i="8"/>
  <c r="AL649" i="2" s="1"/>
  <c r="AI649" i="8"/>
  <c r="AL652" i="2" s="1"/>
  <c r="AI651" i="8"/>
  <c r="AL654" i="2" s="1"/>
  <c r="AI656" i="8"/>
  <c r="AL659" i="2" s="1"/>
  <c r="AI657" i="8"/>
  <c r="AL660" i="2" s="1"/>
  <c r="AI663" i="8"/>
  <c r="AL666" i="2" s="1"/>
  <c r="AI665" i="8"/>
  <c r="AL668" i="2" s="1"/>
  <c r="AI674" i="8"/>
  <c r="AL677" i="2" s="1"/>
  <c r="AI676" i="8"/>
  <c r="AL679" i="2" s="1"/>
  <c r="AI684" i="8"/>
  <c r="AL684" i="2" s="1"/>
  <c r="AI688" i="8"/>
  <c r="AL688" i="2" s="1"/>
  <c r="AI694" i="8"/>
  <c r="AL694" i="2" s="1"/>
  <c r="AI701" i="8"/>
  <c r="AL701" i="2" s="1"/>
  <c r="AI702" i="8"/>
  <c r="AL702" i="2" s="1"/>
  <c r="AI703" i="8"/>
  <c r="AL703" i="2" s="1"/>
  <c r="AI716" i="8"/>
  <c r="AL719" i="2" s="1"/>
  <c r="AI719" i="8"/>
  <c r="AL722" i="2" s="1"/>
  <c r="AI720" i="8"/>
  <c r="AL723" i="2" s="1"/>
  <c r="AI722" i="8"/>
  <c r="AL725" i="2" s="1"/>
  <c r="AI723" i="8"/>
  <c r="AL726" i="2" s="1"/>
  <c r="AI30" i="8"/>
  <c r="AL30" i="2" s="1"/>
  <c r="AI42" i="8"/>
  <c r="AI52" i="8"/>
  <c r="AL52" i="2" s="1"/>
  <c r="AI63" i="8"/>
  <c r="AL63" i="2" s="1"/>
  <c r="AI64" i="8"/>
  <c r="AL64" i="2" s="1"/>
  <c r="AI69" i="8"/>
  <c r="AL69" i="2" s="1"/>
  <c r="AI70" i="8"/>
  <c r="AI74" i="8"/>
  <c r="AI94" i="8"/>
  <c r="AL94" i="2" s="1"/>
  <c r="AI120" i="8"/>
  <c r="AL120" i="2" s="1"/>
  <c r="AI132" i="8"/>
  <c r="AI135" i="8"/>
  <c r="AI136" i="8"/>
  <c r="AL136" i="2" s="1"/>
  <c r="AI151" i="8"/>
  <c r="AL154" i="2" s="1"/>
  <c r="AI198" i="8"/>
  <c r="AL198" i="2" s="1"/>
  <c r="AI199" i="8"/>
  <c r="AL199" i="2" s="1"/>
  <c r="AI209" i="8"/>
  <c r="AL209" i="2" s="1"/>
  <c r="AI223" i="8"/>
  <c r="AL226" i="2" s="1"/>
  <c r="AI230" i="8"/>
  <c r="AI239" i="8"/>
  <c r="AL239" i="2" s="1"/>
  <c r="AI240" i="8"/>
  <c r="AL240" i="2" s="1"/>
  <c r="AI260" i="8"/>
  <c r="AL260" i="2" s="1"/>
  <c r="AI268" i="8"/>
  <c r="AL268" i="2" s="1"/>
  <c r="AI269" i="8"/>
  <c r="AL269" i="2" s="1"/>
  <c r="AI270" i="8"/>
  <c r="AL270" i="2" s="1"/>
  <c r="AI271" i="8"/>
  <c r="AL271" i="2" s="1"/>
  <c r="AI272" i="8"/>
  <c r="AL272" i="2" s="1"/>
  <c r="AI273" i="8"/>
  <c r="AL273" i="2" s="1"/>
  <c r="AI274" i="8"/>
  <c r="AL274" i="2" s="1"/>
  <c r="AI279" i="8"/>
  <c r="AI282" i="8"/>
  <c r="AL282" i="2" s="1"/>
  <c r="AI326" i="8"/>
  <c r="AL326" i="2" s="1"/>
  <c r="AI329" i="8"/>
  <c r="AL329" i="2" s="1"/>
  <c r="AI331" i="8"/>
  <c r="AI340" i="8"/>
  <c r="AL340" i="2" s="1"/>
  <c r="AI345" i="8"/>
  <c r="AL345" i="2" s="1"/>
  <c r="AI347" i="8"/>
  <c r="AI348" i="8"/>
  <c r="AL348" i="2" s="1"/>
  <c r="AI351" i="8"/>
  <c r="AL351" i="2" s="1"/>
  <c r="AI354" i="8"/>
  <c r="AL354" i="2" s="1"/>
  <c r="AI360" i="8"/>
  <c r="AL360" i="2" s="1"/>
  <c r="AI372" i="8"/>
  <c r="AL375" i="2" s="1"/>
  <c r="AI394" i="8"/>
  <c r="AI396" i="8"/>
  <c r="AL396" i="2" s="1"/>
  <c r="AI407" i="8"/>
  <c r="AL407" i="2" s="1"/>
  <c r="AI428" i="8"/>
  <c r="AL428" i="2" s="1"/>
  <c r="AI429" i="8"/>
  <c r="AL429" i="2" s="1"/>
  <c r="AI430" i="8"/>
  <c r="AL430" i="2" s="1"/>
  <c r="AI431" i="8"/>
  <c r="AL431" i="2" s="1"/>
  <c r="AI445" i="8"/>
  <c r="AL448" i="2" s="1"/>
  <c r="AI462" i="8"/>
  <c r="AL462" i="2" s="1"/>
  <c r="AI491" i="8"/>
  <c r="AL491" i="2" s="1"/>
  <c r="AI494" i="8"/>
  <c r="AL494" i="2" s="1"/>
  <c r="AI496" i="8"/>
  <c r="AL496" i="2" s="1"/>
  <c r="AI512" i="8"/>
  <c r="AL515" i="2" s="1"/>
  <c r="AI522" i="8"/>
  <c r="AL525" i="2" s="1"/>
  <c r="AI545" i="8"/>
  <c r="AL545" i="2" s="1"/>
  <c r="AI546" i="8"/>
  <c r="AL546" i="2" s="1"/>
  <c r="AI554" i="8"/>
  <c r="AL554" i="2" s="1"/>
  <c r="AI562" i="8"/>
  <c r="AL562" i="2" s="1"/>
  <c r="AI570" i="8"/>
  <c r="AL570" i="2" s="1"/>
  <c r="AI571" i="8"/>
  <c r="AL571" i="2" s="1"/>
  <c r="AI595" i="8"/>
  <c r="AL598" i="2" s="1"/>
  <c r="AI614" i="8"/>
  <c r="AL614" i="2" s="1"/>
  <c r="AI632" i="8"/>
  <c r="AL632" i="2" s="1"/>
  <c r="AI642" i="8"/>
  <c r="AL645" i="2" s="1"/>
  <c r="AI647" i="8"/>
  <c r="AL650" i="2" s="1"/>
  <c r="AI659" i="8"/>
  <c r="AL662" i="2" s="1"/>
  <c r="AI660" i="8"/>
  <c r="AL663" i="2" s="1"/>
  <c r="AI669" i="8"/>
  <c r="AL672" i="2" s="1"/>
  <c r="AI686" i="8"/>
  <c r="AL686" i="2" s="1"/>
  <c r="AI689" i="8"/>
  <c r="AL689" i="2" s="1"/>
  <c r="AI705" i="8"/>
  <c r="AL705" i="2" s="1"/>
  <c r="AI709" i="8"/>
  <c r="AL709" i="2" s="1"/>
  <c r="AI718" i="8"/>
  <c r="AL721" i="2" s="1"/>
  <c r="AI18" i="8"/>
  <c r="AL18" i="2" s="1"/>
  <c r="AI76" i="8"/>
  <c r="AL79" i="2" s="1"/>
  <c r="AI78" i="8"/>
  <c r="AI87" i="8"/>
  <c r="AL87" i="2" s="1"/>
  <c r="AI96" i="8"/>
  <c r="AL96" i="2" s="1"/>
  <c r="AI111" i="8"/>
  <c r="AL111" i="2" s="1"/>
  <c r="AI119" i="8"/>
  <c r="AL119" i="2" s="1"/>
  <c r="AI138" i="8"/>
  <c r="AL138" i="2" s="1"/>
  <c r="AI150" i="8"/>
  <c r="AL153" i="2" s="1"/>
  <c r="AI181" i="8"/>
  <c r="AL181" i="2" s="1"/>
  <c r="AI195" i="8"/>
  <c r="AL195" i="2" s="1"/>
  <c r="AI204" i="8"/>
  <c r="AL204" i="2" s="1"/>
  <c r="AI208" i="8"/>
  <c r="AI221" i="8"/>
  <c r="AI227" i="8"/>
  <c r="AI233" i="8"/>
  <c r="AI262" i="8"/>
  <c r="AI283" i="8"/>
  <c r="AL283" i="2" s="1"/>
  <c r="AI286" i="8"/>
  <c r="AL286" i="2" s="1"/>
  <c r="AI308" i="8"/>
  <c r="AL311" i="2" s="1"/>
  <c r="AI315" i="8"/>
  <c r="AI343" i="8"/>
  <c r="AL343" i="2" s="1"/>
  <c r="AI376" i="8"/>
  <c r="AL379" i="2" s="1"/>
  <c r="AI392" i="8"/>
  <c r="AI411" i="8"/>
  <c r="AL411" i="2" s="1"/>
  <c r="AI443" i="8"/>
  <c r="AL446" i="2" s="1"/>
  <c r="AI472" i="8"/>
  <c r="AL472" i="2" s="1"/>
  <c r="AI506" i="8"/>
  <c r="AL509" i="2" s="1"/>
  <c r="AI508" i="8"/>
  <c r="AL511" i="2" s="1"/>
  <c r="AI547" i="8"/>
  <c r="AL547" i="2" s="1"/>
  <c r="AI569" i="8"/>
  <c r="AL569" i="2" s="1"/>
  <c r="AI603" i="8"/>
  <c r="AL606" i="2" s="1"/>
  <c r="AI672" i="8"/>
  <c r="AL675" i="2" s="1"/>
  <c r="AI675" i="8"/>
  <c r="AL678" i="2" s="1"/>
  <c r="AI695" i="8"/>
  <c r="AL695" i="2" s="1"/>
  <c r="AI712" i="8"/>
  <c r="AL715" i="2" s="1"/>
  <c r="AI713" i="8"/>
  <c r="AL716" i="2" s="1"/>
  <c r="AI13" i="8"/>
  <c r="AL13" i="2" s="1"/>
  <c r="AI15" i="8"/>
  <c r="AL15" i="2" s="1"/>
  <c r="AI9" i="8"/>
  <c r="AL9" i="2" s="1"/>
  <c r="AI12" i="8"/>
  <c r="AE140" i="8"/>
  <c r="AI140" i="8" s="1"/>
  <c r="AL140" i="2" s="1"/>
  <c r="E721" i="8"/>
  <c r="AI721" i="8" s="1"/>
  <c r="I708" i="8"/>
  <c r="E708" i="8"/>
  <c r="O691" i="8"/>
  <c r="AI691" i="8" s="1"/>
  <c r="AL691" i="2" s="1"/>
  <c r="S682" i="8"/>
  <c r="AI682" i="8" s="1"/>
  <c r="AL682" i="2" s="1"/>
  <c r="O681" i="8"/>
  <c r="AI681" i="8" s="1"/>
  <c r="AL681" i="2" s="1"/>
  <c r="O673" i="8"/>
  <c r="E673" i="8"/>
  <c r="I662" i="8"/>
  <c r="AI662" i="8" s="1"/>
  <c r="AL665" i="2" s="1"/>
  <c r="AA655" i="8"/>
  <c r="S655" i="8"/>
  <c r="O655" i="8"/>
  <c r="M655" i="8"/>
  <c r="I655" i="8"/>
  <c r="G655" i="8"/>
  <c r="S637" i="8"/>
  <c r="AI637" i="8" s="1"/>
  <c r="AL637" i="2" s="1"/>
  <c r="Q631" i="8"/>
  <c r="O631" i="8"/>
  <c r="I631" i="8"/>
  <c r="G631" i="8"/>
  <c r="E631" i="8"/>
  <c r="O622" i="8"/>
  <c r="E622" i="8"/>
  <c r="S601" i="8"/>
  <c r="I601" i="8"/>
  <c r="I587" i="8"/>
  <c r="AI587" i="8" s="1"/>
  <c r="AL590" i="2" s="1"/>
  <c r="AA586" i="8"/>
  <c r="AI586" i="8" s="1"/>
  <c r="AG589" i="2" s="1"/>
  <c r="AI589" i="2" s="1"/>
  <c r="AL589" i="2" s="1"/>
  <c r="S553" i="8"/>
  <c r="AI553" i="8" s="1"/>
  <c r="AL553" i="2" s="1"/>
  <c r="O535" i="8"/>
  <c r="G535" i="8"/>
  <c r="AE517" i="8"/>
  <c r="AI517" i="8" s="1"/>
  <c r="AL520" i="2" s="1"/>
  <c r="I509" i="8"/>
  <c r="AI509" i="8" s="1"/>
  <c r="AL512" i="2" s="1"/>
  <c r="I507" i="8"/>
  <c r="AI507" i="8" s="1"/>
  <c r="AL510" i="2" s="1"/>
  <c r="AA499" i="8"/>
  <c r="I499" i="8"/>
  <c r="I498" i="8"/>
  <c r="AI498" i="8" s="1"/>
  <c r="AL498" i="2" s="1"/>
  <c r="S489" i="8"/>
  <c r="AI489" i="8" s="1"/>
  <c r="AL489" i="2" s="1"/>
  <c r="AA471" i="8"/>
  <c r="AI471" i="8" s="1"/>
  <c r="AL471" i="2" s="1"/>
  <c r="S470" i="8"/>
  <c r="M470" i="8"/>
  <c r="AE454" i="8"/>
  <c r="AI454" i="8" s="1"/>
  <c r="AL457" i="2" s="1"/>
  <c r="S448" i="8"/>
  <c r="AI448" i="8" s="1"/>
  <c r="S439" i="8"/>
  <c r="AI439" i="8" s="1"/>
  <c r="I420" i="8"/>
  <c r="AI420" i="8" s="1"/>
  <c r="S398" i="8"/>
  <c r="AI398" i="8" s="1"/>
  <c r="AL398" i="2" s="1"/>
  <c r="Q391" i="8"/>
  <c r="I391" i="8"/>
  <c r="S382" i="8"/>
  <c r="Q382" i="8"/>
  <c r="O382" i="8"/>
  <c r="M382" i="8"/>
  <c r="E382" i="8"/>
  <c r="S377" i="8"/>
  <c r="I377" i="8"/>
  <c r="E377" i="8"/>
  <c r="S365" i="8"/>
  <c r="Q365" i="8"/>
  <c r="O365" i="8"/>
  <c r="M365" i="8"/>
  <c r="I365" i="8"/>
  <c r="E365" i="8"/>
  <c r="Q352" i="8"/>
  <c r="O352" i="8"/>
  <c r="I352" i="8"/>
  <c r="I350" i="8"/>
  <c r="E350" i="8"/>
  <c r="M341" i="8"/>
  <c r="AI341" i="8" s="1"/>
  <c r="I306" i="8"/>
  <c r="AI306" i="8" s="1"/>
  <c r="S304" i="8"/>
  <c r="AI304" i="8" s="1"/>
  <c r="Q298" i="8"/>
  <c r="AI298" i="8" s="1"/>
  <c r="AL301" i="2" s="1"/>
  <c r="S293" i="8"/>
  <c r="I293" i="8"/>
  <c r="E293" i="8"/>
  <c r="S284" i="8"/>
  <c r="O284" i="8"/>
  <c r="M284" i="8"/>
  <c r="I284" i="8"/>
  <c r="Q259" i="8"/>
  <c r="M259" i="8"/>
  <c r="S254" i="8"/>
  <c r="I254" i="8"/>
  <c r="O252" i="8"/>
  <c r="M252" i="8"/>
  <c r="I252" i="8"/>
  <c r="AA247" i="8"/>
  <c r="S247" i="8"/>
  <c r="M247" i="8"/>
  <c r="I247" i="8"/>
  <c r="E247" i="8"/>
  <c r="AE231" i="8"/>
  <c r="AI231" i="8" s="1"/>
  <c r="AA228" i="8"/>
  <c r="AI228" i="8" s="1"/>
  <c r="S225" i="8"/>
  <c r="O225" i="8"/>
  <c r="I225" i="8"/>
  <c r="E225" i="8"/>
  <c r="S200" i="8"/>
  <c r="O200" i="8"/>
  <c r="I200" i="8"/>
  <c r="E200" i="8"/>
  <c r="O189" i="8"/>
  <c r="AI189" i="8" s="1"/>
  <c r="AL189" i="2" s="1"/>
  <c r="I166" i="8"/>
  <c r="AI166" i="8" s="1"/>
  <c r="AA165" i="8"/>
  <c r="Q165" i="8"/>
  <c r="O165" i="8"/>
  <c r="I165" i="8"/>
  <c r="E165" i="8"/>
  <c r="O163" i="8"/>
  <c r="M163" i="8"/>
  <c r="S161" i="8"/>
  <c r="I161" i="8"/>
  <c r="G161" i="8"/>
  <c r="AA148" i="8"/>
  <c r="S148" i="8"/>
  <c r="Q148" i="8"/>
  <c r="O148" i="8"/>
  <c r="M148" i="8"/>
  <c r="I148" i="8"/>
  <c r="G148" i="8"/>
  <c r="E148" i="8"/>
  <c r="I146" i="8"/>
  <c r="AI146" i="8" s="1"/>
  <c r="AL146" i="2" s="1"/>
  <c r="I134" i="8"/>
  <c r="AI134" i="8" s="1"/>
  <c r="AL134" i="2" s="1"/>
  <c r="E128" i="8"/>
  <c r="AI128" i="8" s="1"/>
  <c r="AL128" i="2" s="1"/>
  <c r="Q126" i="8"/>
  <c r="I126" i="8"/>
  <c r="E126" i="8"/>
  <c r="I122" i="8"/>
  <c r="AI122" i="8" s="1"/>
  <c r="AL122" i="2" s="1"/>
  <c r="AG116" i="8"/>
  <c r="AI116" i="8" s="1"/>
  <c r="AL116" i="2" s="1"/>
  <c r="S114" i="8"/>
  <c r="O114" i="8"/>
  <c r="S113" i="8"/>
  <c r="O113" i="8"/>
  <c r="E113" i="8"/>
  <c r="I112" i="8"/>
  <c r="AI112" i="8" s="1"/>
  <c r="AL112" i="2" s="1"/>
  <c r="O93" i="8"/>
  <c r="E93" i="8"/>
  <c r="S85" i="8"/>
  <c r="I85" i="8"/>
  <c r="E85" i="8"/>
  <c r="S62" i="8"/>
  <c r="Q62" i="8"/>
  <c r="I62" i="8"/>
  <c r="S54" i="8"/>
  <c r="M54" i="8"/>
  <c r="E48" i="8"/>
  <c r="AI48" i="8" s="1"/>
  <c r="AL48" i="2" s="1"/>
  <c r="I40" i="8"/>
  <c r="AI40" i="8" s="1"/>
  <c r="AL40" i="2" s="1"/>
  <c r="S23" i="8"/>
  <c r="I23" i="8"/>
  <c r="E23" i="8"/>
  <c r="E11" i="8"/>
  <c r="AI11" i="8" s="1"/>
  <c r="I10" i="8"/>
  <c r="AI10" i="8" s="1"/>
  <c r="AE666" i="8"/>
  <c r="AI666" i="8" s="1"/>
  <c r="AL669" i="2" s="1"/>
  <c r="AE638" i="8"/>
  <c r="AI638" i="8" s="1"/>
  <c r="AL638" i="2" s="1"/>
  <c r="AG550" i="8"/>
  <c r="AI550" i="8" s="1"/>
  <c r="AL550" i="2" s="1"/>
  <c r="AG503" i="8"/>
  <c r="AI503" i="8" s="1"/>
  <c r="AL506" i="2" s="1"/>
  <c r="AG447" i="8"/>
  <c r="AI447" i="8" s="1"/>
  <c r="AL450" i="2" s="1"/>
  <c r="AE435" i="8"/>
  <c r="AI435" i="8" s="1"/>
  <c r="AL438" i="2" s="1"/>
  <c r="AG414" i="8"/>
  <c r="AI414" i="8" s="1"/>
  <c r="AL414" i="2" s="1"/>
  <c r="AG220" i="8"/>
  <c r="AI220" i="8" s="1"/>
  <c r="AL223" i="2" s="1"/>
  <c r="AE180" i="8"/>
  <c r="AI180" i="8" s="1"/>
  <c r="AG145" i="8"/>
  <c r="AI145" i="8" s="1"/>
  <c r="AL145" i="2" s="1"/>
  <c r="AE129" i="8"/>
  <c r="AI129" i="8" s="1"/>
  <c r="AG127" i="8"/>
  <c r="AI127" i="8" s="1"/>
  <c r="AE57" i="8"/>
  <c r="AI57" i="8" s="1"/>
  <c r="AL57" i="2" s="1"/>
  <c r="AG25" i="8"/>
  <c r="AI25" i="8" s="1"/>
  <c r="AL25" i="2" s="1"/>
  <c r="AM724" i="8" l="1"/>
  <c r="AM720" i="8"/>
  <c r="AM716" i="8"/>
  <c r="AM712" i="8"/>
  <c r="AM708" i="8"/>
  <c r="AM704" i="8"/>
  <c r="AM700" i="8"/>
  <c r="AM696" i="8"/>
  <c r="AM692" i="8"/>
  <c r="AM688" i="8"/>
  <c r="AM684" i="8"/>
  <c r="AM677" i="8"/>
  <c r="AM673" i="8"/>
  <c r="AM666" i="8"/>
  <c r="AM662" i="8"/>
  <c r="AM658" i="8"/>
  <c r="AM654" i="8"/>
  <c r="AM650" i="8"/>
  <c r="AM646" i="8"/>
  <c r="AM642" i="8"/>
  <c r="AM638" i="8"/>
  <c r="AM634" i="8"/>
  <c r="AM630" i="8"/>
  <c r="AM626" i="8"/>
  <c r="AM622" i="8"/>
  <c r="AM618" i="8"/>
  <c r="AM614" i="8"/>
  <c r="AM610" i="8"/>
  <c r="AM603" i="8"/>
  <c r="AM599" i="8"/>
  <c r="AM595" i="8"/>
  <c r="AM591" i="8"/>
  <c r="AM587" i="8"/>
  <c r="AM583" i="8"/>
  <c r="AM579" i="8"/>
  <c r="AM575" i="8"/>
  <c r="AM571" i="8"/>
  <c r="AM567" i="8"/>
  <c r="AM563" i="8"/>
  <c r="AM559" i="8"/>
  <c r="AM555" i="8"/>
  <c r="AM551" i="8"/>
  <c r="AM547" i="8"/>
  <c r="AM543" i="8"/>
  <c r="AM539" i="8"/>
  <c r="AM535" i="8"/>
  <c r="AM528" i="8"/>
  <c r="AM524" i="8"/>
  <c r="AM520" i="8"/>
  <c r="AM516" i="8"/>
  <c r="AM512" i="8"/>
  <c r="AM508" i="8"/>
  <c r="AI350" i="8"/>
  <c r="AL350" i="2" s="1"/>
  <c r="AM723" i="8"/>
  <c r="AM719" i="8"/>
  <c r="AM715" i="8"/>
  <c r="AM711" i="8"/>
  <c r="AM707" i="8"/>
  <c r="AM703" i="8"/>
  <c r="AM699" i="8"/>
  <c r="AM695" i="8"/>
  <c r="AM691" i="8"/>
  <c r="AM687" i="8"/>
  <c r="AM683" i="8"/>
  <c r="AM676" i="8"/>
  <c r="AM672" i="8"/>
  <c r="AM669" i="8"/>
  <c r="AM665" i="8"/>
  <c r="AM661" i="8"/>
  <c r="AM657" i="8"/>
  <c r="AM653" i="8"/>
  <c r="AM649" i="8"/>
  <c r="AM645" i="8"/>
  <c r="AM641" i="8"/>
  <c r="AM637" i="8"/>
  <c r="AM633" i="8"/>
  <c r="AM629" i="8"/>
  <c r="AM625" i="8"/>
  <c r="AM621" i="8"/>
  <c r="AM617" i="8"/>
  <c r="AM613" i="8"/>
  <c r="AM609" i="8"/>
  <c r="AM602" i="8"/>
  <c r="AM598" i="8"/>
  <c r="AM594" i="8"/>
  <c r="AM590" i="8"/>
  <c r="AM586" i="8"/>
  <c r="AM582" i="8"/>
  <c r="AM578" i="8"/>
  <c r="AM574" i="8"/>
  <c r="AM570" i="8"/>
  <c r="AM566" i="8"/>
  <c r="AM562" i="8"/>
  <c r="AM558" i="8"/>
  <c r="AM554" i="8"/>
  <c r="AM550" i="8"/>
  <c r="AM546" i="8"/>
  <c r="AM542" i="8"/>
  <c r="AM538" i="8"/>
  <c r="AM534" i="8"/>
  <c r="AM527" i="8"/>
  <c r="AM523" i="8"/>
  <c r="AM519" i="8"/>
  <c r="AM515" i="8"/>
  <c r="AM511" i="8"/>
  <c r="AM507" i="8"/>
  <c r="AI499" i="8"/>
  <c r="AL499" i="2" s="1"/>
  <c r="AM21" i="8"/>
  <c r="AM17" i="8"/>
  <c r="AM13" i="8"/>
  <c r="AM10" i="8"/>
  <c r="AI54" i="8"/>
  <c r="AL54" i="2" s="1"/>
  <c r="AI93" i="8"/>
  <c r="AL93" i="2" s="1"/>
  <c r="AI259" i="8"/>
  <c r="AI391" i="8"/>
  <c r="AL391" i="2" s="1"/>
  <c r="AI673" i="8"/>
  <c r="AL676" i="2" s="1"/>
  <c r="AM9" i="8"/>
  <c r="AI114" i="8"/>
  <c r="AL114" i="2" s="1"/>
  <c r="AI126" i="8"/>
  <c r="AI284" i="8"/>
  <c r="AL284" i="2" s="1"/>
  <c r="AI708" i="8"/>
  <c r="AL708" i="2" s="1"/>
  <c r="AM722" i="8"/>
  <c r="AM718" i="8"/>
  <c r="AM714" i="8"/>
  <c r="AM710" i="8"/>
  <c r="AM706" i="8"/>
  <c r="AM702" i="8"/>
  <c r="AM698" i="8"/>
  <c r="AM694" i="8"/>
  <c r="AM690" i="8"/>
  <c r="AM686" i="8"/>
  <c r="AM682" i="8"/>
  <c r="AM675" i="8"/>
  <c r="AM671" i="8"/>
  <c r="AM668" i="8"/>
  <c r="AM664" i="8"/>
  <c r="AM660" i="8"/>
  <c r="AM656" i="8"/>
  <c r="AM652" i="8"/>
  <c r="AM648" i="8"/>
  <c r="AM644" i="8"/>
  <c r="AM640" i="8"/>
  <c r="AM636" i="8"/>
  <c r="AM632" i="8"/>
  <c r="AM628" i="8"/>
  <c r="AM624" i="8"/>
  <c r="AM620" i="8"/>
  <c r="AM616" i="8"/>
  <c r="AM612" i="8"/>
  <c r="AM608" i="8"/>
  <c r="AM601" i="8"/>
  <c r="AM597" i="8"/>
  <c r="AM593" i="8"/>
  <c r="AM589" i="8"/>
  <c r="AI23" i="8"/>
  <c r="AI113" i="8"/>
  <c r="AL113" i="2" s="1"/>
  <c r="AI163" i="8"/>
  <c r="AL163" i="2" s="1"/>
  <c r="AI252" i="8"/>
  <c r="AL252" i="2" s="1"/>
  <c r="AI352" i="8"/>
  <c r="AL352" i="2" s="1"/>
  <c r="AI601" i="8"/>
  <c r="AL604" i="2" s="1"/>
  <c r="AL11" i="2"/>
  <c r="AL166" i="2"/>
  <c r="AL307" i="2"/>
  <c r="AL129" i="2"/>
  <c r="AL451" i="2"/>
  <c r="AL392" i="2"/>
  <c r="AL394" i="2"/>
  <c r="AL70" i="2"/>
  <c r="AL312" i="2"/>
  <c r="AL243" i="2"/>
  <c r="AL231" i="2"/>
  <c r="AL90" i="2"/>
  <c r="AL33" i="2"/>
  <c r="AL454" i="2"/>
  <c r="AL409" i="2"/>
  <c r="AL397" i="2"/>
  <c r="AL266" i="2"/>
  <c r="AL249" i="2"/>
  <c r="AL142" i="2"/>
  <c r="AL84" i="2"/>
  <c r="AL60" i="2"/>
  <c r="AI62" i="8"/>
  <c r="AL62" i="2" s="1"/>
  <c r="AL331" i="2"/>
  <c r="AL388" i="2"/>
  <c r="AL353" i="2"/>
  <c r="AL319" i="2"/>
  <c r="AL32" i="2"/>
  <c r="AL26" i="2"/>
  <c r="AL465" i="2"/>
  <c r="AL393" i="2"/>
  <c r="AL376" i="2"/>
  <c r="AL371" i="2"/>
  <c r="AL323" i="2"/>
  <c r="AL278" i="2"/>
  <c r="AL257" i="2"/>
  <c r="AL164" i="2"/>
  <c r="AL147" i="2"/>
  <c r="AL34" i="2"/>
  <c r="AL180" i="2"/>
  <c r="AI148" i="8"/>
  <c r="AL151" i="2" s="1"/>
  <c r="AI161" i="8"/>
  <c r="AI225" i="8"/>
  <c r="AL228" i="2" s="1"/>
  <c r="AL341" i="2"/>
  <c r="AI377" i="8"/>
  <c r="AL420" i="2"/>
  <c r="AL224" i="2"/>
  <c r="AL347" i="2"/>
  <c r="AL483" i="2"/>
  <c r="AL419" i="2"/>
  <c r="AL413" i="2"/>
  <c r="AL290" i="2"/>
  <c r="AL250" i="2"/>
  <c r="AL174" i="2"/>
  <c r="AL101" i="2"/>
  <c r="AL61" i="2"/>
  <c r="AL44" i="2"/>
  <c r="AL29" i="2"/>
  <c r="AL20" i="2"/>
  <c r="AL478" i="2"/>
  <c r="AL463" i="2"/>
  <c r="AL440" i="2"/>
  <c r="AL426" i="2"/>
  <c r="AL400" i="2"/>
  <c r="AL365" i="2"/>
  <c r="AL356" i="2"/>
  <c r="AL342" i="2"/>
  <c r="AL328" i="2"/>
  <c r="AL322" i="2"/>
  <c r="AL298" i="2"/>
  <c r="AL288" i="2"/>
  <c r="AL245" i="2"/>
  <c r="AL217" i="2"/>
  <c r="AL203" i="2"/>
  <c r="AL177" i="2"/>
  <c r="AL162" i="2"/>
  <c r="AL117" i="2"/>
  <c r="AL49" i="2"/>
  <c r="AL39" i="2"/>
  <c r="AM556" i="8"/>
  <c r="AM521" i="8"/>
  <c r="AL236" i="2"/>
  <c r="AL233" i="2"/>
  <c r="AL132" i="2"/>
  <c r="AL485" i="2"/>
  <c r="AL256" i="2"/>
  <c r="AL27" i="2"/>
  <c r="AL445" i="2"/>
  <c r="AL435" i="2"/>
  <c r="AL386" i="2"/>
  <c r="AL214" i="2"/>
  <c r="AL167" i="2"/>
  <c r="AL152" i="2"/>
  <c r="AL53" i="2"/>
  <c r="AI165" i="8"/>
  <c r="AL165" i="2" s="1"/>
  <c r="AI200" i="8"/>
  <c r="AL200" i="2" s="1"/>
  <c r="AI247" i="8"/>
  <c r="AL247" i="2" s="1"/>
  <c r="AI254" i="8"/>
  <c r="AI293" i="8"/>
  <c r="AL309" i="2"/>
  <c r="AI365" i="8"/>
  <c r="AL368" i="2" s="1"/>
  <c r="AI382" i="8"/>
  <c r="AI535" i="8"/>
  <c r="AG535" i="2" s="1"/>
  <c r="AI535" i="2" s="1"/>
  <c r="AL535" i="2" s="1"/>
  <c r="AI631" i="8"/>
  <c r="AL631" i="2" s="1"/>
  <c r="AI655" i="8"/>
  <c r="AL658" i="2" s="1"/>
  <c r="AL230" i="2"/>
  <c r="AL81" i="2"/>
  <c r="AL279" i="2"/>
  <c r="AL42" i="2"/>
  <c r="AL484" i="2"/>
  <c r="AL442" i="2"/>
  <c r="AL415" i="2"/>
  <c r="AL102" i="2"/>
  <c r="AL71" i="2"/>
  <c r="AL299" i="2"/>
  <c r="AL127" i="2"/>
  <c r="AL10" i="2"/>
  <c r="AI85" i="8"/>
  <c r="AL234" i="2"/>
  <c r="AI470" i="8"/>
  <c r="AI622" i="8"/>
  <c r="AL622" i="2" s="1"/>
  <c r="AL12" i="2"/>
  <c r="AL315" i="2"/>
  <c r="AL262" i="2"/>
  <c r="AL208" i="2"/>
  <c r="AL135" i="2"/>
  <c r="AL77" i="2"/>
  <c r="AL482" i="2"/>
  <c r="AL464" i="2"/>
  <c r="AL444" i="2"/>
  <c r="AL418" i="2"/>
  <c r="AL344" i="2"/>
  <c r="AL304" i="2"/>
  <c r="AL287" i="2"/>
  <c r="AL191" i="2"/>
  <c r="AL172" i="2"/>
  <c r="AL43" i="2"/>
  <c r="AL28" i="2"/>
  <c r="AL481" i="2"/>
  <c r="AL447" i="2"/>
  <c r="AL439" i="2"/>
  <c r="AL425" i="2"/>
  <c r="AL355" i="2"/>
  <c r="AL321" i="2"/>
  <c r="AL310" i="2"/>
  <c r="AL244" i="2"/>
  <c r="AL202" i="2"/>
  <c r="AL193" i="2"/>
  <c r="AL176" i="2"/>
  <c r="AL123" i="2"/>
  <c r="AL115" i="2"/>
  <c r="AL55" i="2"/>
  <c r="AL47" i="2"/>
  <c r="AL37" i="2"/>
  <c r="AM721" i="8"/>
  <c r="AM717" i="8"/>
  <c r="AM713" i="8"/>
  <c r="AM709" i="8"/>
  <c r="AM705" i="8"/>
  <c r="AM701" i="8"/>
  <c r="AM697" i="8"/>
  <c r="AM693" i="8"/>
  <c r="AM689" i="8"/>
  <c r="AM685" i="8"/>
  <c r="AM681" i="8"/>
  <c r="AM674" i="8"/>
  <c r="AM670" i="8"/>
  <c r="AM667" i="8"/>
  <c r="AM663" i="8"/>
  <c r="AM659" i="8"/>
  <c r="AM655" i="8"/>
  <c r="AM651" i="8"/>
  <c r="AM647" i="8"/>
  <c r="AM643" i="8"/>
  <c r="AM639" i="8"/>
  <c r="AM635" i="8"/>
  <c r="AM631" i="8"/>
  <c r="AM627" i="8"/>
  <c r="AM623" i="8"/>
  <c r="AM619" i="8"/>
  <c r="AM615" i="8"/>
  <c r="AM572" i="8"/>
  <c r="AM540" i="8"/>
  <c r="AM501" i="8"/>
  <c r="AM413" i="8"/>
  <c r="AM334" i="8"/>
  <c r="AM585" i="8"/>
  <c r="AM581" i="8"/>
  <c r="AM577" i="8"/>
  <c r="AM573" i="8"/>
  <c r="AM569" i="8"/>
  <c r="AM565" i="8"/>
  <c r="AM561" i="8"/>
  <c r="AM557" i="8"/>
  <c r="AM553" i="8"/>
  <c r="AM549" i="8"/>
  <c r="AM545" i="8"/>
  <c r="AM541" i="8"/>
  <c r="AM537" i="8"/>
  <c r="AM530" i="8"/>
  <c r="AM526" i="8"/>
  <c r="AM522" i="8"/>
  <c r="AM518" i="8"/>
  <c r="AM514" i="8"/>
  <c r="AM510" i="8"/>
  <c r="AM506" i="8"/>
  <c r="AM502" i="8"/>
  <c r="AM494" i="8"/>
  <c r="AM491" i="8"/>
  <c r="AM487" i="8"/>
  <c r="AM483" i="8"/>
  <c r="AM479" i="8"/>
  <c r="AM475" i="8"/>
  <c r="AM471" i="8"/>
  <c r="AM467" i="8"/>
  <c r="AM463" i="8"/>
  <c r="AM456" i="8"/>
  <c r="AM453" i="8"/>
  <c r="AM449" i="8"/>
  <c r="AM445" i="8"/>
  <c r="AM441" i="8"/>
  <c r="AM437" i="8"/>
  <c r="AM433" i="8"/>
  <c r="AM429" i="8"/>
  <c r="AM425" i="8"/>
  <c r="AM421" i="8"/>
  <c r="AM417" i="8"/>
  <c r="AM414" i="8"/>
  <c r="AM410" i="8"/>
  <c r="AM406" i="8"/>
  <c r="AM402" i="8"/>
  <c r="AM398" i="8"/>
  <c r="AM394" i="8"/>
  <c r="AM390" i="8"/>
  <c r="AM386" i="8"/>
  <c r="AM379" i="8"/>
  <c r="AM375" i="8"/>
  <c r="AM371" i="8"/>
  <c r="AM367" i="8"/>
  <c r="AM363" i="8"/>
  <c r="AM359" i="8"/>
  <c r="AM355" i="8"/>
  <c r="AM351" i="8"/>
  <c r="AM347" i="8"/>
  <c r="AM343" i="8"/>
  <c r="AM339" i="8"/>
  <c r="AM335" i="8"/>
  <c r="AM331" i="8"/>
  <c r="AM328" i="8"/>
  <c r="AM324" i="8"/>
  <c r="AM316" i="8"/>
  <c r="AM312" i="8"/>
  <c r="AM305" i="8"/>
  <c r="AM301" i="8"/>
  <c r="AM293" i="8"/>
  <c r="AM285" i="8"/>
  <c r="AM281" i="8"/>
  <c r="AM277" i="8"/>
  <c r="AM241" i="8"/>
  <c r="AM611" i="8"/>
  <c r="AM604" i="8"/>
  <c r="AM600" i="8"/>
  <c r="AM596" i="8"/>
  <c r="AM592" i="8"/>
  <c r="AM588" i="8"/>
  <c r="AM584" i="8"/>
  <c r="AM580" i="8"/>
  <c r="AM576" i="8"/>
  <c r="AM568" i="8"/>
  <c r="AM564" i="8"/>
  <c r="AM560" i="8"/>
  <c r="AM552" i="8"/>
  <c r="AM548" i="8"/>
  <c r="AM544" i="8"/>
  <c r="AM536" i="8"/>
  <c r="AM529" i="8"/>
  <c r="AM525" i="8"/>
  <c r="AM517" i="8"/>
  <c r="AM513" i="8"/>
  <c r="AM509" i="8"/>
  <c r="AM505" i="8"/>
  <c r="AM497" i="8"/>
  <c r="AM493" i="8"/>
  <c r="AM490" i="8"/>
  <c r="AM486" i="8"/>
  <c r="AM482" i="8"/>
  <c r="AM478" i="8"/>
  <c r="AM474" i="8"/>
  <c r="AM470" i="8"/>
  <c r="AM466" i="8"/>
  <c r="AM462" i="8"/>
  <c r="AM455" i="8"/>
  <c r="AM452" i="8"/>
  <c r="AM444" i="8"/>
  <c r="AM440" i="8"/>
  <c r="AM436" i="8"/>
  <c r="AM432" i="8"/>
  <c r="AM428" i="8"/>
  <c r="AM424" i="8"/>
  <c r="AM420" i="8"/>
  <c r="AM409" i="8"/>
  <c r="AM405" i="8"/>
  <c r="AM401" i="8"/>
  <c r="AM397" i="8"/>
  <c r="AM393" i="8"/>
  <c r="AM389" i="8"/>
  <c r="AM382" i="8"/>
  <c r="AM374" i="8"/>
  <c r="AM370" i="8"/>
  <c r="AM366" i="8"/>
  <c r="AM362" i="8"/>
  <c r="AM358" i="8"/>
  <c r="AM354" i="8"/>
  <c r="AM350" i="8"/>
  <c r="AM346" i="8"/>
  <c r="AM342" i="8"/>
  <c r="AM338" i="8"/>
  <c r="AM327" i="8"/>
  <c r="AM323" i="8"/>
  <c r="AM319" i="8"/>
  <c r="AM315" i="8"/>
  <c r="AM308" i="8"/>
  <c r="AM304" i="8"/>
  <c r="AM300" i="8"/>
  <c r="AM296" i="8"/>
  <c r="AM292" i="8"/>
  <c r="AM288" i="8"/>
  <c r="AM284" i="8"/>
  <c r="AM280" i="8"/>
  <c r="AM276" i="8"/>
  <c r="AM272" i="8"/>
  <c r="AM209" i="8"/>
  <c r="AM268" i="8"/>
  <c r="AM264" i="8"/>
  <c r="AM256" i="8"/>
  <c r="AM252" i="8"/>
  <c r="AM248" i="8"/>
  <c r="AM244" i="8"/>
  <c r="AM240" i="8"/>
  <c r="AM233" i="8"/>
  <c r="AM225" i="8"/>
  <c r="AM221" i="8"/>
  <c r="AM217" i="8"/>
  <c r="AM213" i="8"/>
  <c r="AM205" i="8"/>
  <c r="AM201" i="8"/>
  <c r="AM197" i="8"/>
  <c r="AM193" i="8"/>
  <c r="AM189" i="8"/>
  <c r="AM185" i="8"/>
  <c r="AM181" i="8"/>
  <c r="AM173" i="8"/>
  <c r="AM165" i="8"/>
  <c r="AM161" i="8"/>
  <c r="AM154" i="8"/>
  <c r="AM150" i="8"/>
  <c r="AM146" i="8"/>
  <c r="AM142" i="8"/>
  <c r="AM138" i="8"/>
  <c r="AM134" i="8"/>
  <c r="AM130" i="8"/>
  <c r="AM126" i="8"/>
  <c r="AM122" i="8"/>
  <c r="AM118" i="8"/>
  <c r="AM114" i="8"/>
  <c r="AM106" i="8"/>
  <c r="AM97" i="8"/>
  <c r="AM93" i="8"/>
  <c r="AM89" i="8"/>
  <c r="AM85" i="8"/>
  <c r="AM78" i="8"/>
  <c r="AM74" i="8"/>
  <c r="AM70" i="8"/>
  <c r="AM66" i="8"/>
  <c r="AM62" i="8"/>
  <c r="AM58" i="8"/>
  <c r="AM54" i="8"/>
  <c r="AM50" i="8"/>
  <c r="AM46" i="8"/>
  <c r="AM38" i="8"/>
  <c r="AM31" i="8"/>
  <c r="AM27" i="8"/>
  <c r="AM23" i="8"/>
  <c r="AM19" i="8"/>
  <c r="AM15" i="8"/>
  <c r="AM11" i="8"/>
  <c r="AM273" i="8"/>
  <c r="AM265" i="8"/>
  <c r="AM261" i="8"/>
  <c r="AM257" i="8"/>
  <c r="AM253" i="8"/>
  <c r="AM249" i="8"/>
  <c r="AM245" i="8"/>
  <c r="AM234" i="8"/>
  <c r="AM230" i="8"/>
  <c r="AM226" i="8"/>
  <c r="AM222" i="8"/>
  <c r="AM218" i="8"/>
  <c r="AM210" i="8"/>
  <c r="AM206" i="8"/>
  <c r="AM202" i="8"/>
  <c r="AM198" i="8"/>
  <c r="AM194" i="8"/>
  <c r="AM190" i="8"/>
  <c r="AM186" i="8"/>
  <c r="AM182" i="8"/>
  <c r="AM178" i="8"/>
  <c r="AM174" i="8"/>
  <c r="AM170" i="8"/>
  <c r="AM166" i="8"/>
  <c r="AM162" i="8"/>
  <c r="AM155" i="8"/>
  <c r="AM151" i="8"/>
  <c r="AM147" i="8"/>
  <c r="AM143" i="8"/>
  <c r="AM139" i="8"/>
  <c r="AM135" i="8"/>
  <c r="AM131" i="8"/>
  <c r="AM127" i="8"/>
  <c r="AM123" i="8"/>
  <c r="AM119" i="8"/>
  <c r="AM115" i="8"/>
  <c r="AM111" i="8"/>
  <c r="AM107" i="8"/>
  <c r="AM102" i="8"/>
  <c r="AM98" i="8"/>
  <c r="AM94" i="8"/>
  <c r="AM90" i="8"/>
  <c r="AM86" i="8"/>
  <c r="AM79" i="8"/>
  <c r="AM75" i="8"/>
  <c r="AM71" i="8"/>
  <c r="AM67" i="8"/>
  <c r="AM63" i="8"/>
  <c r="AM59" i="8"/>
  <c r="AM55" i="8"/>
  <c r="AM51" i="8"/>
  <c r="AM47" i="8"/>
  <c r="AM43" i="8"/>
  <c r="AM39" i="8"/>
  <c r="AM35" i="8"/>
  <c r="AM32" i="8"/>
  <c r="AM28" i="8"/>
  <c r="AM24" i="8"/>
  <c r="AM20" i="8"/>
  <c r="AM16" i="8"/>
  <c r="AM12" i="8"/>
  <c r="AL259" i="2" l="1"/>
  <c r="AL23" i="2"/>
  <c r="AL126" i="2"/>
  <c r="AL85" i="2"/>
  <c r="AL470" i="2"/>
  <c r="AL254" i="2"/>
  <c r="AG380" i="2"/>
  <c r="AI380" i="2" s="1"/>
  <c r="AL380" i="2" s="1"/>
  <c r="AL161" i="2"/>
  <c r="AL385" i="2"/>
  <c r="AL296" i="2"/>
  <c r="AI18" i="7" l="1"/>
  <c r="AI76" i="7"/>
  <c r="AI78" i="7"/>
  <c r="AI87" i="7"/>
  <c r="AI96" i="7"/>
  <c r="AI111" i="7"/>
  <c r="AI119" i="7"/>
  <c r="AI138" i="7"/>
  <c r="AI150" i="7"/>
  <c r="AI181" i="7"/>
  <c r="AI195" i="7"/>
  <c r="AI204" i="7"/>
  <c r="AI208" i="7"/>
  <c r="AI221" i="7"/>
  <c r="AI227" i="7"/>
  <c r="AI233" i="7"/>
  <c r="AI262" i="7"/>
  <c r="AI283" i="7"/>
  <c r="AI286" i="7"/>
  <c r="AI308" i="7"/>
  <c r="AI315" i="7"/>
  <c r="AI343" i="7"/>
  <c r="AI376" i="7"/>
  <c r="AI392" i="7"/>
  <c r="AI411" i="7"/>
  <c r="AI443" i="7"/>
  <c r="AI472" i="7"/>
  <c r="AI506" i="7"/>
  <c r="AI508" i="7"/>
  <c r="AI547" i="7"/>
  <c r="AI569" i="7"/>
  <c r="AI603" i="7"/>
  <c r="AI672" i="7"/>
  <c r="AI675" i="7"/>
  <c r="AI695" i="7"/>
  <c r="AI712" i="7"/>
  <c r="AI713" i="7"/>
  <c r="AI34" i="7"/>
  <c r="AI35" i="7"/>
  <c r="AI90" i="7" l="1"/>
  <c r="AI101" i="7"/>
  <c r="AI102" i="7"/>
  <c r="AI103" i="7"/>
  <c r="AI116" i="7"/>
  <c r="AI125" i="7"/>
  <c r="AI126" i="7"/>
  <c r="AI128" i="7"/>
  <c r="AI131" i="7"/>
  <c r="AI134" i="7"/>
  <c r="AI141" i="7"/>
  <c r="AI148" i="7"/>
  <c r="AI160" i="7"/>
  <c r="AI161" i="7"/>
  <c r="AI165" i="7"/>
  <c r="AI170" i="7"/>
  <c r="AI172" i="7"/>
  <c r="AI174" i="7"/>
  <c r="AI175" i="7"/>
  <c r="AI178" i="7"/>
  <c r="AI191" i="7"/>
  <c r="AI201" i="7"/>
  <c r="AI206" i="7"/>
  <c r="AI212" i="7"/>
  <c r="AI215" i="7"/>
  <c r="AI219" i="7"/>
  <c r="AI226" i="7"/>
  <c r="AI228" i="7"/>
  <c r="AI231" i="7"/>
  <c r="AI241" i="7"/>
  <c r="AI242" i="7"/>
  <c r="AI243" i="7"/>
  <c r="AI247" i="7"/>
  <c r="AI248" i="7"/>
  <c r="AI250" i="7"/>
  <c r="AI253" i="7"/>
  <c r="AI254" i="7"/>
  <c r="AI256" i="7"/>
  <c r="AI259" i="7"/>
  <c r="AI263" i="7"/>
  <c r="AI275" i="7"/>
  <c r="AI276" i="7"/>
  <c r="AI284" i="7"/>
  <c r="AI285" i="7"/>
  <c r="AI287" i="7"/>
  <c r="AI290" i="7"/>
  <c r="AI292" i="7"/>
  <c r="AI293" i="7"/>
  <c r="AI298" i="7"/>
  <c r="AI301" i="7"/>
  <c r="AI303" i="7"/>
  <c r="AI306" i="7"/>
  <c r="AI312" i="7"/>
  <c r="AI316" i="7"/>
  <c r="AI318" i="7"/>
  <c r="AI319" i="7"/>
  <c r="AI320" i="7"/>
  <c r="AI325" i="7"/>
  <c r="AI338" i="7"/>
  <c r="AI339" i="7"/>
  <c r="AI341" i="7"/>
  <c r="AI344" i="7"/>
  <c r="AI350" i="7"/>
  <c r="AI352" i="7"/>
  <c r="AI353" i="7"/>
  <c r="AI359" i="7"/>
  <c r="AI375" i="7"/>
  <c r="AI378" i="7"/>
  <c r="AI388" i="7"/>
  <c r="AI390" i="7"/>
  <c r="AI391" i="7"/>
  <c r="AI395" i="7"/>
  <c r="AI398" i="7"/>
  <c r="AI402" i="7"/>
  <c r="AI404" i="7"/>
  <c r="AI412" i="7"/>
  <c r="AI413" i="7"/>
  <c r="AI415" i="7"/>
  <c r="AI417" i="7"/>
  <c r="AI418" i="7"/>
  <c r="AI419" i="7"/>
  <c r="AI422" i="7"/>
  <c r="AI423" i="7"/>
  <c r="AI433" i="7"/>
  <c r="AI434" i="7"/>
  <c r="AI439" i="7"/>
  <c r="AI440" i="7"/>
  <c r="AI441" i="7"/>
  <c r="AI448" i="7"/>
  <c r="AI449" i="7"/>
  <c r="AI452" i="7"/>
  <c r="AI454" i="7"/>
  <c r="AI464" i="7"/>
  <c r="AI468" i="7"/>
  <c r="AI469" i="7"/>
  <c r="AI475" i="7"/>
  <c r="AI482" i="7"/>
  <c r="AI483" i="7"/>
  <c r="AI484" i="7"/>
  <c r="AI485" i="7"/>
  <c r="AI487" i="7"/>
  <c r="AI489" i="7"/>
  <c r="AI490" i="7"/>
  <c r="AI493" i="7"/>
  <c r="AI495" i="7"/>
  <c r="AI498" i="7"/>
  <c r="AI499" i="7"/>
  <c r="AI502" i="7"/>
  <c r="AI507" i="7"/>
  <c r="AI509" i="7"/>
  <c r="AI510" i="7"/>
  <c r="AI515" i="7"/>
  <c r="AI517" i="7"/>
  <c r="AI518" i="7"/>
  <c r="AI520" i="7"/>
  <c r="AI523" i="7"/>
  <c r="AI535" i="7"/>
  <c r="AI549" i="7"/>
  <c r="AI555" i="7"/>
  <c r="AI560" i="7"/>
  <c r="AI561" i="7"/>
  <c r="AI567" i="7"/>
  <c r="AI575" i="7"/>
  <c r="AI581" i="7"/>
  <c r="AI583" i="7"/>
  <c r="AI584" i="7"/>
  <c r="AI586" i="7"/>
  <c r="AI587" i="7"/>
  <c r="AI594" i="7"/>
  <c r="AI597" i="7"/>
  <c r="AI598" i="7"/>
  <c r="AI599" i="7"/>
  <c r="AI600" i="7"/>
  <c r="AI601" i="7"/>
  <c r="AI602" i="7"/>
  <c r="AI608" i="7"/>
  <c r="AI613" i="7"/>
  <c r="AI623" i="7"/>
  <c r="AI625" i="7"/>
  <c r="AI629" i="7"/>
  <c r="AI630" i="7"/>
  <c r="AI631" i="7"/>
  <c r="AI634" i="7"/>
  <c r="AI646" i="7"/>
  <c r="AI649" i="7"/>
  <c r="AI651" i="7"/>
  <c r="AI655" i="7"/>
  <c r="AI656" i="7"/>
  <c r="AI657" i="7"/>
  <c r="AI663" i="7"/>
  <c r="AI665" i="7"/>
  <c r="AI669" i="7"/>
  <c r="AI674" i="7"/>
  <c r="AI676" i="7"/>
  <c r="AI684" i="7"/>
  <c r="AI688" i="7"/>
  <c r="AI694" i="7"/>
  <c r="AI701" i="7"/>
  <c r="AI702" i="7"/>
  <c r="AI703" i="7"/>
  <c r="AI708" i="7"/>
  <c r="AI716" i="7"/>
  <c r="AI719" i="7"/>
  <c r="AI720" i="7"/>
  <c r="AI721" i="7"/>
  <c r="AI722" i="7"/>
  <c r="AI723" i="7"/>
  <c r="AI30" i="7"/>
  <c r="AI42" i="7"/>
  <c r="AI52" i="7"/>
  <c r="AI63" i="7"/>
  <c r="AI64" i="7"/>
  <c r="AI69" i="7"/>
  <c r="AI70" i="7"/>
  <c r="AI74" i="7"/>
  <c r="AI94" i="7"/>
  <c r="AI120" i="7"/>
  <c r="AI132" i="7"/>
  <c r="AI135" i="7"/>
  <c r="AI136" i="7"/>
  <c r="AI140" i="7"/>
  <c r="AI151" i="7"/>
  <c r="AI198" i="7"/>
  <c r="AI199" i="7"/>
  <c r="AI209" i="7"/>
  <c r="AI223" i="7"/>
  <c r="AI230" i="7"/>
  <c r="AI239" i="7"/>
  <c r="AI240" i="7"/>
  <c r="AI260" i="7"/>
  <c r="AI268" i="7"/>
  <c r="AI269" i="7"/>
  <c r="AI270" i="7"/>
  <c r="AI271" i="7"/>
  <c r="AI272" i="7"/>
  <c r="AI273" i="7"/>
  <c r="AI274" i="7"/>
  <c r="AI279" i="7"/>
  <c r="AI282" i="7"/>
  <c r="AI326" i="7"/>
  <c r="AI329" i="7"/>
  <c r="AI331" i="7"/>
  <c r="AI340" i="7"/>
  <c r="AI345" i="7"/>
  <c r="AI347" i="7"/>
  <c r="AI348" i="7"/>
  <c r="AI351" i="7"/>
  <c r="AI354" i="7"/>
  <c r="AI360" i="7"/>
  <c r="AI372" i="7"/>
  <c r="AI394" i="7"/>
  <c r="AI396" i="7"/>
  <c r="AI407" i="7"/>
  <c r="AI428" i="7"/>
  <c r="AI429" i="7"/>
  <c r="AI430" i="7"/>
  <c r="AI431" i="7"/>
  <c r="AI445" i="7"/>
  <c r="AI462" i="7"/>
  <c r="AI491" i="7"/>
  <c r="AI494" i="7"/>
  <c r="AI496" i="7"/>
  <c r="AI512" i="7"/>
  <c r="AI522" i="7"/>
  <c r="AI545" i="7"/>
  <c r="AI546" i="7"/>
  <c r="AI554" i="7"/>
  <c r="AI562" i="7"/>
  <c r="AI570" i="7"/>
  <c r="AI571" i="7"/>
  <c r="AI595" i="7"/>
  <c r="AI614" i="7"/>
  <c r="AI632" i="7"/>
  <c r="AI642" i="7"/>
  <c r="AI647" i="7"/>
  <c r="AI659" i="7"/>
  <c r="AI660" i="7"/>
  <c r="AI686" i="7"/>
  <c r="AI689" i="7"/>
  <c r="AI705" i="7"/>
  <c r="AI709" i="7"/>
  <c r="AI718" i="7"/>
  <c r="AI9" i="7"/>
  <c r="AI12" i="7"/>
  <c r="AI13" i="7"/>
  <c r="AI15" i="7"/>
  <c r="AI16" i="7"/>
  <c r="AI17" i="7"/>
  <c r="AI19" i="7"/>
  <c r="AI21" i="7"/>
  <c r="AI22" i="7"/>
  <c r="AI24" i="7"/>
  <c r="AI31" i="7"/>
  <c r="AI36" i="7"/>
  <c r="AI37" i="7"/>
  <c r="AI39" i="7"/>
  <c r="AI41" i="7"/>
  <c r="AI46" i="7"/>
  <c r="AI47" i="7"/>
  <c r="AI49" i="7"/>
  <c r="AI51" i="7"/>
  <c r="AI53" i="7"/>
  <c r="AI55" i="7"/>
  <c r="AI57" i="7"/>
  <c r="AI58" i="7"/>
  <c r="AI59" i="7"/>
  <c r="AI60" i="7"/>
  <c r="AI65" i="7"/>
  <c r="AI66" i="7"/>
  <c r="AI67" i="7"/>
  <c r="AI68" i="7"/>
  <c r="AI73" i="7"/>
  <c r="AI77" i="7"/>
  <c r="AI83" i="7"/>
  <c r="AI84" i="7"/>
  <c r="AI88" i="7"/>
  <c r="AI89" i="7"/>
  <c r="AI91" i="7"/>
  <c r="AI92" i="7"/>
  <c r="AI95" i="7"/>
  <c r="AI97" i="7"/>
  <c r="AI98" i="7"/>
  <c r="AI99" i="7"/>
  <c r="AI100" i="7"/>
  <c r="AI104" i="7"/>
  <c r="AI105" i="7"/>
  <c r="AI106" i="7"/>
  <c r="AI107" i="7"/>
  <c r="AI108" i="7"/>
  <c r="AI109" i="7"/>
  <c r="AI110" i="7"/>
  <c r="AI115" i="7"/>
  <c r="AI117" i="7"/>
  <c r="AI118" i="7"/>
  <c r="AI121" i="7"/>
  <c r="AI123" i="7"/>
  <c r="AI124" i="7"/>
  <c r="AI129" i="7"/>
  <c r="AI130" i="7"/>
  <c r="AI133" i="7"/>
  <c r="AI137" i="7"/>
  <c r="AI139" i="7"/>
  <c r="AI142" i="7"/>
  <c r="AI143" i="7"/>
  <c r="AI144" i="7"/>
  <c r="AI147" i="7"/>
  <c r="AI149" i="7"/>
  <c r="AI152" i="7"/>
  <c r="AI153" i="7"/>
  <c r="AI154" i="7"/>
  <c r="AI155" i="7"/>
  <c r="AI156" i="7"/>
  <c r="AI162" i="7"/>
  <c r="AI164" i="7"/>
  <c r="AI167" i="7"/>
  <c r="AI168" i="7"/>
  <c r="AI169" i="7"/>
  <c r="AI171" i="7"/>
  <c r="AI173" i="7"/>
  <c r="AI176" i="7"/>
  <c r="AI177" i="7"/>
  <c r="AI179" i="7"/>
  <c r="AI180" i="7"/>
  <c r="AI182" i="7"/>
  <c r="AI183" i="7"/>
  <c r="AI184" i="7"/>
  <c r="AI185" i="7"/>
  <c r="AI186" i="7"/>
  <c r="AI187" i="7"/>
  <c r="AI188" i="7"/>
  <c r="AI190" i="7"/>
  <c r="AI192" i="7"/>
  <c r="AI193" i="7"/>
  <c r="AI194" i="7"/>
  <c r="AI196" i="7"/>
  <c r="AI197" i="7"/>
  <c r="AI202" i="7"/>
  <c r="AI203" i="7"/>
  <c r="AI205" i="7"/>
  <c r="AI207" i="7"/>
  <c r="AI210" i="7"/>
  <c r="AI211" i="7"/>
  <c r="AI213" i="7"/>
  <c r="AI214" i="7"/>
  <c r="AI216" i="7"/>
  <c r="AI217" i="7"/>
  <c r="AI218" i="7"/>
  <c r="AI222" i="7"/>
  <c r="AI224" i="7"/>
  <c r="AI232" i="7"/>
  <c r="AI234" i="7"/>
  <c r="AI238" i="7"/>
  <c r="AI244" i="7"/>
  <c r="AI245" i="7"/>
  <c r="AI246" i="7"/>
  <c r="AI249" i="7"/>
  <c r="AI251" i="7"/>
  <c r="AI255" i="7"/>
  <c r="AI257" i="7"/>
  <c r="AI258" i="7"/>
  <c r="AI261" i="7"/>
  <c r="AI264" i="7"/>
  <c r="AI265" i="7"/>
  <c r="AI266" i="7"/>
  <c r="AI267" i="7"/>
  <c r="AI277" i="7"/>
  <c r="AI278" i="7"/>
  <c r="AI280" i="7"/>
  <c r="AI281" i="7"/>
  <c r="AI288" i="7"/>
  <c r="AI289" i="7"/>
  <c r="AI291" i="7"/>
  <c r="AI294" i="7"/>
  <c r="AI295" i="7"/>
  <c r="AI296" i="7"/>
  <c r="AI297" i="7"/>
  <c r="AI299" i="7"/>
  <c r="AI300" i="7"/>
  <c r="AI302" i="7"/>
  <c r="AI305" i="7"/>
  <c r="AI307" i="7"/>
  <c r="AI313" i="7"/>
  <c r="AI314" i="7"/>
  <c r="AI317" i="7"/>
  <c r="AI321" i="7"/>
  <c r="AI322" i="7"/>
  <c r="AI323" i="7"/>
  <c r="AI324" i="7"/>
  <c r="AI327" i="7"/>
  <c r="AI328" i="7"/>
  <c r="AI330" i="7"/>
  <c r="AI332" i="7"/>
  <c r="AI333" i="7"/>
  <c r="AI334" i="7"/>
  <c r="AI335" i="7"/>
  <c r="AI336" i="7"/>
  <c r="AI337" i="7"/>
  <c r="AI342" i="7"/>
  <c r="AI346" i="7"/>
  <c r="AI349" i="7"/>
  <c r="AI355" i="7"/>
  <c r="AI356" i="7"/>
  <c r="AI357" i="7"/>
  <c r="AI358" i="7"/>
  <c r="AI361" i="7"/>
  <c r="AI362" i="7"/>
  <c r="AI363" i="7"/>
  <c r="AI364" i="7"/>
  <c r="AI366" i="7"/>
  <c r="AI367" i="7"/>
  <c r="AI368" i="7"/>
  <c r="AI369" i="7"/>
  <c r="AI370" i="7"/>
  <c r="AI371" i="7"/>
  <c r="AI373" i="7"/>
  <c r="AI374" i="7"/>
  <c r="AI379" i="7"/>
  <c r="AI380" i="7"/>
  <c r="AI381" i="7"/>
  <c r="AI386" i="7"/>
  <c r="AI387" i="7"/>
  <c r="AI389" i="7"/>
  <c r="AI393" i="7"/>
  <c r="AI397" i="7"/>
  <c r="AI399" i="7"/>
  <c r="AI400" i="7"/>
  <c r="AI401" i="7"/>
  <c r="AI403" i="7"/>
  <c r="AI405" i="7"/>
  <c r="AI406" i="7"/>
  <c r="AI408" i="7"/>
  <c r="AI409" i="7"/>
  <c r="AI410" i="7"/>
  <c r="AI416" i="7"/>
  <c r="AI421" i="7"/>
  <c r="AI424" i="7"/>
  <c r="AI425" i="7"/>
  <c r="AI426" i="7"/>
  <c r="AI427" i="7"/>
  <c r="AI432" i="7"/>
  <c r="AI435" i="7"/>
  <c r="AI436" i="7"/>
  <c r="AI437" i="7"/>
  <c r="AI438" i="7"/>
  <c r="AI442" i="7"/>
  <c r="AI444" i="7"/>
  <c r="AI446" i="7"/>
  <c r="AI447" i="7"/>
  <c r="AI450" i="7"/>
  <c r="AI451" i="7"/>
  <c r="AI453" i="7"/>
  <c r="AI455" i="7"/>
  <c r="AI456" i="7"/>
  <c r="AI460" i="7"/>
  <c r="AI461" i="7"/>
  <c r="AI463" i="7"/>
  <c r="AI465" i="7"/>
  <c r="AI466" i="7"/>
  <c r="AI467" i="7"/>
  <c r="AI473" i="7"/>
  <c r="AI474" i="7"/>
  <c r="AI476" i="7"/>
  <c r="AI477" i="7"/>
  <c r="AI478" i="7"/>
  <c r="AI479" i="7"/>
  <c r="AI480" i="7"/>
  <c r="AI481" i="7"/>
  <c r="AI486" i="7"/>
  <c r="AI488" i="7"/>
  <c r="AI492" i="7"/>
  <c r="AI497" i="7"/>
  <c r="AI501" i="7"/>
  <c r="AI504" i="7"/>
  <c r="AI505" i="7"/>
  <c r="AI511" i="7"/>
  <c r="AI513" i="7"/>
  <c r="AI514" i="7"/>
  <c r="AI516" i="7"/>
  <c r="AI519" i="7"/>
  <c r="AI521" i="7"/>
  <c r="AI524" i="7"/>
  <c r="AI525" i="7"/>
  <c r="AI526" i="7"/>
  <c r="AI527" i="7"/>
  <c r="AI528" i="7"/>
  <c r="AI529" i="7"/>
  <c r="AI530" i="7"/>
  <c r="AI534" i="7"/>
  <c r="AI536" i="7"/>
  <c r="AI537" i="7"/>
  <c r="AI538" i="7"/>
  <c r="AI539" i="7"/>
  <c r="AI540" i="7"/>
  <c r="AI541" i="7"/>
  <c r="AI542" i="7"/>
  <c r="AI543" i="7"/>
  <c r="AI544" i="7"/>
  <c r="AI548" i="7"/>
  <c r="AI551" i="7"/>
  <c r="AI552" i="7"/>
  <c r="AI556" i="7"/>
  <c r="AI557" i="7"/>
  <c r="AI558" i="7"/>
  <c r="AI559" i="7"/>
  <c r="AI563" i="7"/>
  <c r="AI564" i="7"/>
  <c r="AI565" i="7"/>
  <c r="AI566" i="7"/>
  <c r="AI568" i="7"/>
  <c r="AI572" i="7"/>
  <c r="AI573" i="7"/>
  <c r="AI574" i="7"/>
  <c r="AI576" i="7"/>
  <c r="AI577" i="7"/>
  <c r="AI578" i="7"/>
  <c r="AI579" i="7"/>
  <c r="AI580" i="7"/>
  <c r="AI582" i="7"/>
  <c r="AI585" i="7"/>
  <c r="AI588" i="7"/>
  <c r="AI589" i="7"/>
  <c r="AI590" i="7"/>
  <c r="AI591" i="7"/>
  <c r="AI593" i="7"/>
  <c r="AI592" i="7"/>
  <c r="AI596" i="7"/>
  <c r="AI604" i="7"/>
  <c r="AI609" i="7"/>
  <c r="AI610" i="7"/>
  <c r="AI611" i="7"/>
  <c r="AI612" i="7"/>
  <c r="AI615" i="7"/>
  <c r="AI616" i="7"/>
  <c r="AI617" i="7"/>
  <c r="AI618" i="7"/>
  <c r="AI619" i="7"/>
  <c r="AI620" i="7"/>
  <c r="AI621" i="7"/>
  <c r="AI624" i="7"/>
  <c r="AI626" i="7"/>
  <c r="AI627" i="7"/>
  <c r="AI628" i="7"/>
  <c r="AI633" i="7"/>
  <c r="AI635" i="7"/>
  <c r="AI636" i="7"/>
  <c r="AI638" i="7"/>
  <c r="AI639" i="7"/>
  <c r="AI640" i="7"/>
  <c r="AI641" i="7"/>
  <c r="AI643" i="7"/>
  <c r="AI644" i="7"/>
  <c r="AI645" i="7"/>
  <c r="AI648" i="7"/>
  <c r="AI650" i="7"/>
  <c r="AI652" i="7"/>
  <c r="AI653" i="7"/>
  <c r="AI654" i="7"/>
  <c r="AI658" i="7"/>
  <c r="AI661" i="7"/>
  <c r="AI664" i="7"/>
  <c r="AI666" i="7"/>
  <c r="AI667" i="7"/>
  <c r="AI668" i="7"/>
  <c r="AI670" i="7"/>
  <c r="AI671" i="7"/>
  <c r="AI677" i="7"/>
  <c r="AI683" i="7"/>
  <c r="AI685" i="7"/>
  <c r="AI687" i="7"/>
  <c r="AI690" i="7"/>
  <c r="AI692" i="7"/>
  <c r="AI693" i="7"/>
  <c r="AI696" i="7"/>
  <c r="AI697" i="7"/>
  <c r="AI698" i="7"/>
  <c r="AI699" i="7"/>
  <c r="AI700" i="7"/>
  <c r="AI704" i="7"/>
  <c r="AI706" i="7"/>
  <c r="AI707" i="7"/>
  <c r="AI710" i="7"/>
  <c r="AI711" i="7"/>
  <c r="AI714" i="7"/>
  <c r="AI715" i="7"/>
  <c r="AI717" i="7"/>
  <c r="AI724" i="7"/>
  <c r="AI11" i="7"/>
  <c r="O691" i="7"/>
  <c r="AI691" i="7" s="1"/>
  <c r="S682" i="7"/>
  <c r="AI682" i="7" s="1"/>
  <c r="O681" i="7"/>
  <c r="AI681" i="7" s="1"/>
  <c r="O673" i="7"/>
  <c r="E673" i="7"/>
  <c r="I662" i="7"/>
  <c r="AI662" i="7" s="1"/>
  <c r="S637" i="7"/>
  <c r="AI637" i="7" s="1"/>
  <c r="O622" i="7"/>
  <c r="E622" i="7"/>
  <c r="AI622" i="7" s="1"/>
  <c r="S553" i="7"/>
  <c r="AI553" i="7" s="1"/>
  <c r="O500" i="7"/>
  <c r="AI500" i="7" s="1"/>
  <c r="AA471" i="7"/>
  <c r="AI471" i="7" s="1"/>
  <c r="S470" i="7"/>
  <c r="AI470" i="7" s="1"/>
  <c r="I420" i="7"/>
  <c r="AI420" i="7" s="1"/>
  <c r="O382" i="7"/>
  <c r="M382" i="7"/>
  <c r="E382" i="7"/>
  <c r="S377" i="7"/>
  <c r="I377" i="7"/>
  <c r="O365" i="7"/>
  <c r="I365" i="7"/>
  <c r="S304" i="7"/>
  <c r="AI304" i="7" s="1"/>
  <c r="O252" i="7"/>
  <c r="I252" i="7"/>
  <c r="E229" i="7"/>
  <c r="AI229" i="7" s="1"/>
  <c r="S225" i="7"/>
  <c r="O225" i="7"/>
  <c r="S200" i="7"/>
  <c r="O200" i="7"/>
  <c r="I200" i="7"/>
  <c r="E200" i="7"/>
  <c r="O189" i="7"/>
  <c r="AI189" i="7" s="1"/>
  <c r="I166" i="7"/>
  <c r="AI166" i="7" s="1"/>
  <c r="O163" i="7"/>
  <c r="M163" i="7"/>
  <c r="I146" i="7"/>
  <c r="AI146" i="7" s="1"/>
  <c r="I122" i="7"/>
  <c r="AI122" i="7" s="1"/>
  <c r="O114" i="7"/>
  <c r="AI114" i="7" s="1"/>
  <c r="S113" i="7"/>
  <c r="O113" i="7"/>
  <c r="E113" i="7"/>
  <c r="I112" i="7"/>
  <c r="AI112" i="7" s="1"/>
  <c r="O93" i="7"/>
  <c r="E93" i="7"/>
  <c r="AI86" i="7"/>
  <c r="AI85" i="7"/>
  <c r="AI79" i="7"/>
  <c r="AI75" i="7"/>
  <c r="AI72" i="7"/>
  <c r="AI71" i="7"/>
  <c r="AI62" i="7"/>
  <c r="AI61" i="7"/>
  <c r="AI56" i="7"/>
  <c r="S54" i="7"/>
  <c r="AI54" i="7" s="1"/>
  <c r="AI50" i="7"/>
  <c r="AI48" i="7"/>
  <c r="AI45" i="7"/>
  <c r="AI44" i="7"/>
  <c r="AI43" i="7"/>
  <c r="AI40" i="7"/>
  <c r="AI38" i="7"/>
  <c r="AI33" i="7"/>
  <c r="AI32" i="7"/>
  <c r="AI29" i="7"/>
  <c r="AI28" i="7"/>
  <c r="AI27" i="7"/>
  <c r="AI26" i="7"/>
  <c r="AI23" i="7"/>
  <c r="AI20" i="7"/>
  <c r="AI14" i="7"/>
  <c r="I10" i="7"/>
  <c r="AI10" i="7" s="1"/>
  <c r="AG550" i="7"/>
  <c r="AI550" i="7" s="1"/>
  <c r="AG503" i="7"/>
  <c r="AI503" i="7" s="1"/>
  <c r="AG414" i="7"/>
  <c r="AI414" i="7" s="1"/>
  <c r="AG220" i="7"/>
  <c r="AI220" i="7" s="1"/>
  <c r="AG145" i="7"/>
  <c r="AI145" i="7" s="1"/>
  <c r="AG127" i="7"/>
  <c r="AI127" i="7" s="1"/>
  <c r="AG25" i="7"/>
  <c r="AI25" i="7" s="1"/>
  <c r="AI113" i="7" l="1"/>
  <c r="AI365" i="7"/>
  <c r="AI382" i="7"/>
  <c r="AI93" i="7"/>
  <c r="AI252" i="7"/>
  <c r="AI225" i="7"/>
  <c r="AI163" i="7"/>
  <c r="AI377" i="7"/>
  <c r="AI724" i="2"/>
  <c r="AL724" i="2" s="1"/>
  <c r="AI200" i="7"/>
  <c r="AI673" i="7"/>
  <c r="AU63" i="6" l="1"/>
  <c r="AS63" i="6"/>
  <c r="AU13" i="6"/>
  <c r="AU14" i="6"/>
  <c r="AU15" i="6"/>
  <c r="AU19" i="6"/>
  <c r="AU20" i="6"/>
  <c r="AU23" i="6"/>
  <c r="AU24" i="6"/>
  <c r="AU25" i="6"/>
  <c r="AU26" i="6"/>
  <c r="AU30" i="6"/>
  <c r="AU31" i="6"/>
  <c r="AU32" i="6"/>
  <c r="AU33" i="6"/>
  <c r="AU34" i="6"/>
  <c r="AU37" i="6"/>
  <c r="AU38" i="6"/>
  <c r="AU39" i="6"/>
  <c r="AU43" i="6"/>
  <c r="AU45" i="6"/>
  <c r="AU50" i="6"/>
  <c r="AU51" i="6"/>
  <c r="AU52" i="6"/>
  <c r="AU53" i="6"/>
  <c r="AU54" i="6"/>
  <c r="AU57" i="6"/>
  <c r="AU58" i="6"/>
  <c r="AU59" i="6"/>
  <c r="AU60" i="6"/>
  <c r="AU65" i="6"/>
  <c r="AU66" i="6"/>
  <c r="AU71" i="6"/>
  <c r="AU72" i="6"/>
  <c r="AU77" i="6"/>
  <c r="AU79" i="6"/>
  <c r="AU81" i="6"/>
  <c r="AU84" i="6"/>
  <c r="AU88" i="6"/>
  <c r="AU93" i="6"/>
  <c r="AU94" i="6"/>
  <c r="AU95" i="6"/>
  <c r="AU97" i="6"/>
  <c r="AU101" i="6"/>
  <c r="AU102" i="6"/>
  <c r="AU104" i="6"/>
  <c r="AU106" i="6"/>
  <c r="AU107" i="6"/>
  <c r="AU112" i="6"/>
  <c r="AU117" i="6"/>
  <c r="AU118" i="6"/>
  <c r="AU119" i="6"/>
  <c r="AU120" i="6"/>
  <c r="AS107" i="6"/>
  <c r="AS93" i="6"/>
  <c r="AS66" i="6"/>
  <c r="AS48" i="6"/>
  <c r="AS38" i="6"/>
  <c r="AS82" i="6"/>
  <c r="AS72" i="6"/>
  <c r="AS84" i="6"/>
  <c r="AY71" i="6" l="1"/>
  <c r="AU82" i="6"/>
  <c r="AU48" i="6"/>
  <c r="AU90" i="6"/>
  <c r="AY95" i="6"/>
  <c r="AY24" i="6"/>
  <c r="AS24" i="6"/>
  <c r="AW71" i="6"/>
  <c r="AS71" i="6"/>
  <c r="AW95" i="6"/>
  <c r="AS95" i="6"/>
  <c r="AY65" i="6"/>
  <c r="AW24" i="6"/>
  <c r="AW65" i="6"/>
  <c r="AS65" i="6"/>
  <c r="AW66" i="6"/>
  <c r="AY54" i="6"/>
  <c r="AY59" i="6"/>
  <c r="AW72" i="6"/>
  <c r="AW54" i="6"/>
  <c r="AS54" i="6"/>
  <c r="AY63" i="6"/>
  <c r="AY66" i="6"/>
  <c r="AY38" i="6"/>
  <c r="AW38" i="6"/>
  <c r="AW63" i="6"/>
  <c r="AY107" i="6"/>
  <c r="AW107" i="6"/>
  <c r="AY93" i="6"/>
  <c r="AW93" i="6"/>
  <c r="AW59" i="6"/>
  <c r="AS59" i="6"/>
  <c r="AY30" i="6"/>
  <c r="AW30" i="6"/>
  <c r="AS30" i="6"/>
  <c r="AY13" i="6"/>
  <c r="AW13" i="6"/>
  <c r="AS13" i="6"/>
  <c r="AY72" i="6"/>
  <c r="AS14" i="6"/>
  <c r="AS15" i="6"/>
  <c r="AS19" i="6"/>
  <c r="AS20" i="6"/>
  <c r="AS23" i="6"/>
  <c r="AS25" i="6"/>
  <c r="AS26" i="6"/>
  <c r="AS31" i="6"/>
  <c r="AS32" i="6"/>
  <c r="AS33" i="6"/>
  <c r="AS34" i="6"/>
  <c r="AS37" i="6"/>
  <c r="AS39" i="6"/>
  <c r="AS43" i="6"/>
  <c r="AS45" i="6"/>
  <c r="AS88" i="6"/>
  <c r="AS94" i="6"/>
  <c r="AS97" i="6"/>
  <c r="AS101" i="6"/>
  <c r="AS102" i="6"/>
  <c r="AS104" i="6"/>
  <c r="AS106" i="6"/>
  <c r="AS112" i="6"/>
  <c r="AS117" i="6"/>
  <c r="AS118" i="6"/>
  <c r="AS119" i="6"/>
  <c r="AS120" i="6"/>
  <c r="AY20" i="6"/>
  <c r="AW82" i="6" l="1"/>
  <c r="AY82" i="6"/>
  <c r="AW48" i="6"/>
  <c r="AY48" i="6"/>
  <c r="AW104" i="6"/>
  <c r="AW84" i="6"/>
  <c r="AY84" i="6"/>
  <c r="AS58" i="6"/>
  <c r="AW58" i="6"/>
  <c r="AY58" i="6"/>
  <c r="AW106" i="6"/>
  <c r="AW88" i="6"/>
  <c r="AW81" i="6"/>
  <c r="AW79" i="6"/>
  <c r="AW77" i="6"/>
  <c r="AY39" i="6"/>
  <c r="AW39" i="6"/>
  <c r="AW37" i="6"/>
  <c r="AW33" i="6"/>
  <c r="AW23" i="6"/>
  <c r="AY19" i="6"/>
  <c r="AW112" i="6"/>
  <c r="AW15" i="6"/>
  <c r="AW14" i="6"/>
  <c r="AY45" i="6"/>
  <c r="AY51" i="6"/>
  <c r="AY120" i="6"/>
  <c r="AY117" i="6"/>
  <c r="AY90" i="6"/>
  <c r="AY53" i="6"/>
  <c r="AY50" i="6"/>
  <c r="AY52" i="6"/>
  <c r="AY43" i="6"/>
  <c r="AY119" i="6"/>
  <c r="AY118" i="6"/>
  <c r="AY88" i="6"/>
  <c r="AW20" i="6"/>
  <c r="AW102" i="6"/>
  <c r="AW101" i="6"/>
  <c r="AW97" i="6"/>
  <c r="AW94" i="6"/>
  <c r="AW34" i="6"/>
  <c r="AW32" i="6"/>
  <c r="AW31" i="6"/>
  <c r="AW26" i="6"/>
  <c r="AW25" i="6"/>
  <c r="AW19" i="6"/>
  <c r="AW120" i="6"/>
  <c r="AW119" i="6"/>
  <c r="AW118" i="6"/>
  <c r="AW117" i="6"/>
  <c r="AY106" i="6"/>
  <c r="AW90" i="6"/>
  <c r="AS90" i="6"/>
  <c r="AY60" i="6"/>
  <c r="AY57" i="6"/>
  <c r="AW53" i="6"/>
  <c r="AS53" i="6"/>
  <c r="AW52" i="6"/>
  <c r="AS52" i="6"/>
  <c r="AW51" i="6"/>
  <c r="AS51" i="6"/>
  <c r="AW50" i="6"/>
  <c r="AS50" i="6"/>
  <c r="AW45" i="6"/>
  <c r="AW43" i="6"/>
  <c r="AY37" i="6"/>
  <c r="AY112" i="6"/>
  <c r="AY104" i="6"/>
  <c r="AY102" i="6"/>
  <c r="AY101" i="6"/>
  <c r="AY97" i="6"/>
  <c r="AY94" i="6"/>
  <c r="AS81" i="6"/>
  <c r="AY81" i="6"/>
  <c r="AS79" i="6"/>
  <c r="AY79" i="6"/>
  <c r="AS77" i="6"/>
  <c r="AY77" i="6"/>
  <c r="AW60" i="6"/>
  <c r="AS60" i="6"/>
  <c r="AW57" i="6"/>
  <c r="AS57" i="6"/>
  <c r="AY34" i="6"/>
  <c r="AY33" i="6"/>
  <c r="AY32" i="6"/>
  <c r="AY31" i="6"/>
  <c r="AY26" i="6"/>
  <c r="AY25" i="6"/>
  <c r="AY23" i="6"/>
  <c r="AY15" i="6"/>
  <c r="AY14" i="6"/>
</calcChain>
</file>

<file path=xl/sharedStrings.xml><?xml version="1.0" encoding="utf-8"?>
<sst xmlns="http://schemas.openxmlformats.org/spreadsheetml/2006/main" count="6023" uniqueCount="973">
  <si>
    <t>West Union</t>
  </si>
  <si>
    <t>Winchester</t>
  </si>
  <si>
    <t>Beaverdam</t>
  </si>
  <si>
    <t>Elida</t>
  </si>
  <si>
    <t>Harrod</t>
  </si>
  <si>
    <t>Lafayette</t>
  </si>
  <si>
    <t>Spencerville</t>
  </si>
  <si>
    <t>Hayesville</t>
  </si>
  <si>
    <t>Mifflin</t>
  </si>
  <si>
    <t>Amesville</t>
  </si>
  <si>
    <t>Glouster</t>
  </si>
  <si>
    <t>Buckland</t>
  </si>
  <si>
    <t>New Knoxville</t>
  </si>
  <si>
    <t>Uniopolis</t>
  </si>
  <si>
    <t>Waynesfield</t>
  </si>
  <si>
    <t>Bethesda</t>
  </si>
  <si>
    <t>Brookside</t>
  </si>
  <si>
    <t>Holloway</t>
  </si>
  <si>
    <t>Morristown</t>
  </si>
  <si>
    <t>Powhatan Point</t>
  </si>
  <si>
    <t>Shadyside</t>
  </si>
  <si>
    <t>Fayetteville</t>
  </si>
  <si>
    <t>Georgetown</t>
  </si>
  <si>
    <t>Hamersville</t>
  </si>
  <si>
    <t>Mt. Orab</t>
  </si>
  <si>
    <t>Sardinia</t>
  </si>
  <si>
    <t>Millville</t>
  </si>
  <si>
    <t>Seven Mile</t>
  </si>
  <si>
    <t>Dellroy</t>
  </si>
  <si>
    <t>Leesville</t>
  </si>
  <si>
    <t>Malvern</t>
  </si>
  <si>
    <t>Sherrodsville</t>
  </si>
  <si>
    <t>Christiansburg</t>
  </si>
  <si>
    <t>St. Paris</t>
  </si>
  <si>
    <t>Catawba</t>
  </si>
  <si>
    <t>South Vienna</t>
  </si>
  <si>
    <t>Amelia</t>
  </si>
  <si>
    <t>Neville</t>
  </si>
  <si>
    <t>New Richmond</t>
  </si>
  <si>
    <t>Owensville</t>
  </si>
  <si>
    <t>Williamsburg</t>
  </si>
  <si>
    <t>New Vienna</t>
  </si>
  <si>
    <t>Hanoverton</t>
  </si>
  <si>
    <t>Leetonia</t>
  </si>
  <si>
    <t>Lisbon</t>
  </si>
  <si>
    <t>Rogers</t>
  </si>
  <si>
    <t>Salineville</t>
  </si>
  <si>
    <t>Summitville</t>
  </si>
  <si>
    <t>Washingtonville</t>
  </si>
  <si>
    <t>Glenwillow</t>
  </si>
  <si>
    <t>Walton Hills</t>
  </si>
  <si>
    <t>Castine</t>
  </si>
  <si>
    <t>Gettysburg</t>
  </si>
  <si>
    <t>New Madison</t>
  </si>
  <si>
    <t>Pitsburg</t>
  </si>
  <si>
    <t>Ney</t>
  </si>
  <si>
    <t>Sherwood</t>
  </si>
  <si>
    <t>Galena</t>
  </si>
  <si>
    <t>Bay View</t>
  </si>
  <si>
    <t>Berlin Heights</t>
  </si>
  <si>
    <t>Castalia</t>
  </si>
  <si>
    <t>Bremen</t>
  </si>
  <si>
    <t>Carroll</t>
  </si>
  <si>
    <t>Millersport</t>
  </si>
  <si>
    <t>Pleasantville</t>
  </si>
  <si>
    <t>Rushville</t>
  </si>
  <si>
    <t>Sugar Grove</t>
  </si>
  <si>
    <t>Thurston</t>
  </si>
  <si>
    <t>Bloomingburg</t>
  </si>
  <si>
    <t>Jeffersonville</t>
  </si>
  <si>
    <t>Milledgeville</t>
  </si>
  <si>
    <t>Octa</t>
  </si>
  <si>
    <t>Brice</t>
  </si>
  <si>
    <t>Marble Cliff</t>
  </si>
  <si>
    <t>Minerva Park</t>
  </si>
  <si>
    <t>Obetz</t>
  </si>
  <si>
    <t>Urbancrest</t>
  </si>
  <si>
    <t>Valleyview</t>
  </si>
  <si>
    <t>Lyons</t>
  </si>
  <si>
    <t>Cheshire</t>
  </si>
  <si>
    <t>Crown City</t>
  </si>
  <si>
    <t>Rio Grande</t>
  </si>
  <si>
    <t>Vinton</t>
  </si>
  <si>
    <t>Bowersville</t>
  </si>
  <si>
    <t>Jamestown</t>
  </si>
  <si>
    <t>Spring Valley</t>
  </si>
  <si>
    <t>Byesville</t>
  </si>
  <si>
    <t>Cumberland</t>
  </si>
  <si>
    <t>Lore City</t>
  </si>
  <si>
    <t>Quaker City</t>
  </si>
  <si>
    <t>Senecaville</t>
  </si>
  <si>
    <t>Addyston</t>
  </si>
  <si>
    <t>Elmwood Place</t>
  </si>
  <si>
    <t>Fairfax</t>
  </si>
  <si>
    <t>Greenhills</t>
  </si>
  <si>
    <t>Lockland</t>
  </si>
  <si>
    <t>Newtown</t>
  </si>
  <si>
    <t>North Bend</t>
  </si>
  <si>
    <t>Arlington</t>
  </si>
  <si>
    <t>Mount Victory</t>
  </si>
  <si>
    <t>Cadiz</t>
  </si>
  <si>
    <t>Hopedale</t>
  </si>
  <si>
    <t>Jewett</t>
  </si>
  <si>
    <t>New Athens</t>
  </si>
  <si>
    <t>Deshler</t>
  </si>
  <si>
    <t>Florida</t>
  </si>
  <si>
    <t>Liberty Center</t>
  </si>
  <si>
    <t>Malinta</t>
  </si>
  <si>
    <t>Mcclure</t>
  </si>
  <si>
    <t>New Bavaria</t>
  </si>
  <si>
    <t>Lynchburg</t>
  </si>
  <si>
    <t>Laurelville</t>
  </si>
  <si>
    <t>Murray City</t>
  </si>
  <si>
    <t>Greenwich</t>
  </si>
  <si>
    <t>Oak Hill</t>
  </si>
  <si>
    <t>Bloomingdale</t>
  </si>
  <si>
    <t>Dillonvale</t>
  </si>
  <si>
    <t>Empire</t>
  </si>
  <si>
    <t>Irondale</t>
  </si>
  <si>
    <t>Richmond</t>
  </si>
  <si>
    <t>Tiltonsville</t>
  </si>
  <si>
    <t>Centerburg</t>
  </si>
  <si>
    <t>Gann</t>
  </si>
  <si>
    <t>Martinsburg</t>
  </si>
  <si>
    <t>North Perry</t>
  </si>
  <si>
    <t>Coal Grove</t>
  </si>
  <si>
    <t>Hanging Rock</t>
  </si>
  <si>
    <t>Proctorville</t>
  </si>
  <si>
    <t>South Point</t>
  </si>
  <si>
    <t>Alexandria</t>
  </si>
  <si>
    <t>Buckeye Lake</t>
  </si>
  <si>
    <t>Johnstown</t>
  </si>
  <si>
    <t>Belle Center</t>
  </si>
  <si>
    <t>Huntsville</t>
  </si>
  <si>
    <t>Quincy</t>
  </si>
  <si>
    <t>West Liberty</t>
  </si>
  <si>
    <t>Kipton</t>
  </si>
  <si>
    <t>Lagrange</t>
  </si>
  <si>
    <t>Rochester</t>
  </si>
  <si>
    <t>Berkey</t>
  </si>
  <si>
    <t>Harbor View</t>
  </si>
  <si>
    <t>Mount Sterling</t>
  </si>
  <si>
    <t>South Solon</t>
  </si>
  <si>
    <t>Beloit</t>
  </si>
  <si>
    <t>Craig Beach</t>
  </si>
  <si>
    <t>New Middleton</t>
  </si>
  <si>
    <t>Poland</t>
  </si>
  <si>
    <t>Caledonia</t>
  </si>
  <si>
    <t>Green Camp</t>
  </si>
  <si>
    <t>New Bloomington</t>
  </si>
  <si>
    <t>Prospect</t>
  </si>
  <si>
    <t>Waldo</t>
  </si>
  <si>
    <t>Chippewa Lake</t>
  </si>
  <si>
    <t>Gloria Glens Park</t>
  </si>
  <si>
    <t>Seville</t>
  </si>
  <si>
    <t>Westfield Cente</t>
  </si>
  <si>
    <t>Middleport</t>
  </si>
  <si>
    <t>Pomeroy</t>
  </si>
  <si>
    <t>Racine</t>
  </si>
  <si>
    <t>Syracuse</t>
  </si>
  <si>
    <t>Montezuma</t>
  </si>
  <si>
    <t>Saint Henry</t>
  </si>
  <si>
    <t>Laura</t>
  </si>
  <si>
    <t>Pleasant Hill</t>
  </si>
  <si>
    <t>Beallsville</t>
  </si>
  <si>
    <t>Lewisville</t>
  </si>
  <si>
    <t>Woodsfield</t>
  </si>
  <si>
    <t>Farmersville</t>
  </si>
  <si>
    <t>Mcconnelsville</t>
  </si>
  <si>
    <t>Stockport</t>
  </si>
  <si>
    <t>Cardington</t>
  </si>
  <si>
    <t>Chesterville</t>
  </si>
  <si>
    <t>Edison</t>
  </si>
  <si>
    <t>Marengo</t>
  </si>
  <si>
    <t>Dresden</t>
  </si>
  <si>
    <t>Frazeysburg</t>
  </si>
  <si>
    <t>Norwich</t>
  </si>
  <si>
    <t>Caldwell</t>
  </si>
  <si>
    <t>Summerfield</t>
  </si>
  <si>
    <t>Clay Center</t>
  </si>
  <si>
    <t>Elmore</t>
  </si>
  <si>
    <t>Put-In-Bay</t>
  </si>
  <si>
    <t>Cecil</t>
  </si>
  <si>
    <t>Haviland</t>
  </si>
  <si>
    <t>Latty</t>
  </si>
  <si>
    <t>Melrose</t>
  </si>
  <si>
    <t>Corning</t>
  </si>
  <si>
    <t>Shawnee</t>
  </si>
  <si>
    <t>Commercial Poin</t>
  </si>
  <si>
    <t>New Holland</t>
  </si>
  <si>
    <t>Orient</t>
  </si>
  <si>
    <t>Tarlton</t>
  </si>
  <si>
    <t>Williamsport</t>
  </si>
  <si>
    <t>Beaver</t>
  </si>
  <si>
    <t>Hiram</t>
  </si>
  <si>
    <t>Mantua</t>
  </si>
  <si>
    <t>Sugar Bush Knolls</t>
  </si>
  <si>
    <t>Windham</t>
  </si>
  <si>
    <t>Camden</t>
  </si>
  <si>
    <t>College Corner</t>
  </si>
  <si>
    <t>Eldorado</t>
  </si>
  <si>
    <t>Gratis</t>
  </si>
  <si>
    <t>Continental</t>
  </si>
  <si>
    <t>Dupont</t>
  </si>
  <si>
    <t>Fort Jennings</t>
  </si>
  <si>
    <t>Gilboa</t>
  </si>
  <si>
    <t>Miller City</t>
  </si>
  <si>
    <t>Ottawa</t>
  </si>
  <si>
    <t>Bellville</t>
  </si>
  <si>
    <t>Plymouth</t>
  </si>
  <si>
    <t>Adelphi</t>
  </si>
  <si>
    <t>Clarksburg</t>
  </si>
  <si>
    <t>Frankfort</t>
  </si>
  <si>
    <t>Kingston</t>
  </si>
  <si>
    <t>Helena</t>
  </si>
  <si>
    <t>Lindsey</t>
  </si>
  <si>
    <t>Otway</t>
  </si>
  <si>
    <t>South Webster</t>
  </si>
  <si>
    <t>Attica</t>
  </si>
  <si>
    <t>Green Springs</t>
  </si>
  <si>
    <t>New Riegel</t>
  </si>
  <si>
    <t>Anna</t>
  </si>
  <si>
    <t>Fort Loramie</t>
  </si>
  <si>
    <t>Jackson Center</t>
  </si>
  <si>
    <t>East Sparta</t>
  </si>
  <si>
    <t>Hills And Dales</t>
  </si>
  <si>
    <t>Limaville</t>
  </si>
  <si>
    <t>Meyers Lake</t>
  </si>
  <si>
    <t>Reminderville</t>
  </si>
  <si>
    <t>Orangeville</t>
  </si>
  <si>
    <t>West Farmington</t>
  </si>
  <si>
    <t>Yankee Lake</t>
  </si>
  <si>
    <t>Dennison</t>
  </si>
  <si>
    <t>Midvale</t>
  </si>
  <si>
    <t>Mineral City</t>
  </si>
  <si>
    <t>Zoar</t>
  </si>
  <si>
    <t>Magnetic Springs</t>
  </si>
  <si>
    <t>Milford Center</t>
  </si>
  <si>
    <t>Richwood</t>
  </si>
  <si>
    <t>Convoy</t>
  </si>
  <si>
    <t>Wren</t>
  </si>
  <si>
    <t>Butlerville</t>
  </si>
  <si>
    <t>Maineville</t>
  </si>
  <si>
    <t>Morrow</t>
  </si>
  <si>
    <t>Pleasant Plain</t>
  </si>
  <si>
    <t>Lowell</t>
  </si>
  <si>
    <t>Lower Salem</t>
  </si>
  <si>
    <t>Matamoras</t>
  </si>
  <si>
    <t>Burbank</t>
  </si>
  <si>
    <t>Mount Eaton</t>
  </si>
  <si>
    <t>West Salem</t>
  </si>
  <si>
    <t>Alvordton</t>
  </si>
  <si>
    <t>Blakeslee</t>
  </si>
  <si>
    <t>Edon</t>
  </si>
  <si>
    <t>Custar</t>
  </si>
  <si>
    <t>Grand Rapids</t>
  </si>
  <si>
    <t>Haskins</t>
  </si>
  <si>
    <t>Hoytville</t>
  </si>
  <si>
    <t>Millbury</t>
  </si>
  <si>
    <t>Portage</t>
  </si>
  <si>
    <t>Risingsun</t>
  </si>
  <si>
    <t>Walbridge</t>
  </si>
  <si>
    <t>West Millgrove</t>
  </si>
  <si>
    <t>Weston</t>
  </si>
  <si>
    <t>Harpster</t>
  </si>
  <si>
    <t>Kirby</t>
  </si>
  <si>
    <t>Sycamore</t>
  </si>
  <si>
    <t>Holiday City</t>
  </si>
  <si>
    <t>South Bloomfield</t>
  </si>
  <si>
    <t>Geneva On The Lake</t>
  </si>
  <si>
    <t>Albany</t>
  </si>
  <si>
    <t>Athens</t>
  </si>
  <si>
    <t>Buchtel</t>
  </si>
  <si>
    <t>Chauncey</t>
  </si>
  <si>
    <t>Cridersville</t>
  </si>
  <si>
    <t>Auglaize</t>
  </si>
  <si>
    <t>Minster</t>
  </si>
  <si>
    <t>New Bremen</t>
  </si>
  <si>
    <t>Barnesville</t>
  </si>
  <si>
    <t>Belmont</t>
  </si>
  <si>
    <t>Bellaire</t>
  </si>
  <si>
    <t>Bridgeport</t>
  </si>
  <si>
    <t>Aberdeen</t>
  </si>
  <si>
    <t>Brown</t>
  </si>
  <si>
    <t>Ripley</t>
  </si>
  <si>
    <t>Carrollton</t>
  </si>
  <si>
    <t>Mechanicsburg</t>
  </si>
  <si>
    <t>Champaign</t>
  </si>
  <si>
    <t>Mutual</t>
  </si>
  <si>
    <t>North Lewisburg</t>
  </si>
  <si>
    <t>Woodstock</t>
  </si>
  <si>
    <t>Enon</t>
  </si>
  <si>
    <t>Clark</t>
  </si>
  <si>
    <t>North Hampton</t>
  </si>
  <si>
    <t>Batavia</t>
  </si>
  <si>
    <t>Clermont</t>
  </si>
  <si>
    <t>Bethel</t>
  </si>
  <si>
    <t>Felicity</t>
  </si>
  <si>
    <t>Moscow</t>
  </si>
  <si>
    <t>Clinton</t>
  </si>
  <si>
    <t>Clarksville</t>
  </si>
  <si>
    <t>Martinsville</t>
  </si>
  <si>
    <t>McArthur</t>
  </si>
  <si>
    <t>Port William</t>
  </si>
  <si>
    <t>Sabina</t>
  </si>
  <si>
    <t>Columbiana</t>
  </si>
  <si>
    <t>Wellsville</t>
  </si>
  <si>
    <t>Conesville</t>
  </si>
  <si>
    <t>Coshocton</t>
  </si>
  <si>
    <t>Nellie</t>
  </si>
  <si>
    <t>West Lafayette</t>
  </si>
  <si>
    <t>Chatfield</t>
  </si>
  <si>
    <t>Crawford</t>
  </si>
  <si>
    <t>New Washington</t>
  </si>
  <si>
    <t>North Robinson</t>
  </si>
  <si>
    <t>Bentleyville</t>
  </si>
  <si>
    <t>Cuyahoga</t>
  </si>
  <si>
    <t>Bratenahl</t>
  </si>
  <si>
    <t>Brooklyn Heights</t>
  </si>
  <si>
    <t>Chagrin Falls</t>
  </si>
  <si>
    <t>Gates Mills</t>
  </si>
  <si>
    <t>Hunting Valley</t>
  </si>
  <si>
    <t>Mayfield</t>
  </si>
  <si>
    <t>Moreland Hills</t>
  </si>
  <si>
    <t>Newburgh Heights</t>
  </si>
  <si>
    <t>Oakwood</t>
  </si>
  <si>
    <t>Valley View</t>
  </si>
  <si>
    <t>Woodmere</t>
  </si>
  <si>
    <t>Ansonia</t>
  </si>
  <si>
    <t>Darke</t>
  </si>
  <si>
    <t>Arcanum</t>
  </si>
  <si>
    <t>Gordon</t>
  </si>
  <si>
    <t>Hollansburg</t>
  </si>
  <si>
    <t>New Weston</t>
  </si>
  <si>
    <t xml:space="preserve">North Star </t>
  </si>
  <si>
    <t>Osgood</t>
  </si>
  <si>
    <t>Rossburg</t>
  </si>
  <si>
    <t>Union City</t>
  </si>
  <si>
    <t>Versailles</t>
  </si>
  <si>
    <t>Wayne Lakes</t>
  </si>
  <si>
    <t>Yorkshire</t>
  </si>
  <si>
    <t>Hicksville</t>
  </si>
  <si>
    <t>Defiance</t>
  </si>
  <si>
    <t>Delaware</t>
  </si>
  <si>
    <t>Ostrander</t>
  </si>
  <si>
    <t>Shawnee Hills</t>
  </si>
  <si>
    <t>Sunbury</t>
  </si>
  <si>
    <t>Milan</t>
  </si>
  <si>
    <t>Erie</t>
  </si>
  <si>
    <t>Baltimore</t>
  </si>
  <si>
    <t>Fairfield</t>
  </si>
  <si>
    <t>West Rushville</t>
  </si>
  <si>
    <t>Canal Winchester</t>
  </si>
  <si>
    <t>Franklin</t>
  </si>
  <si>
    <t>Groveport</t>
  </si>
  <si>
    <t>New Albany</t>
  </si>
  <si>
    <t>Riverlea</t>
  </si>
  <si>
    <t>Archbold</t>
  </si>
  <si>
    <t>Fulton</t>
  </si>
  <si>
    <t>Delta</t>
  </si>
  <si>
    <t>Fayette</t>
  </si>
  <si>
    <t>Metamora</t>
  </si>
  <si>
    <t>Swanton</t>
  </si>
  <si>
    <t>Gallipolis</t>
  </si>
  <si>
    <t>Gallia</t>
  </si>
  <si>
    <t>Hamden</t>
  </si>
  <si>
    <t>Geagua</t>
  </si>
  <si>
    <t>Middlefield</t>
  </si>
  <si>
    <t>Geauga</t>
  </si>
  <si>
    <t>South Russell</t>
  </si>
  <si>
    <t>Cedarville</t>
  </si>
  <si>
    <t>Greene</t>
  </si>
  <si>
    <t>Clifton</t>
  </si>
  <si>
    <t>Greene/Clark</t>
  </si>
  <si>
    <t>Yellow Springs</t>
  </si>
  <si>
    <t>Guernsey</t>
  </si>
  <si>
    <t>Pleasant City</t>
  </si>
  <si>
    <t>Amberley</t>
  </si>
  <si>
    <t>Hamilton</t>
  </si>
  <si>
    <t>Arlington Heights</t>
  </si>
  <si>
    <t>Evendale</t>
  </si>
  <si>
    <t>Glendale</t>
  </si>
  <si>
    <t>Golf Manor</t>
  </si>
  <si>
    <t>Lincoln Heights</t>
  </si>
  <si>
    <t>Mariemont</t>
  </si>
  <si>
    <t>Terrace Park</t>
  </si>
  <si>
    <t>Woodlawn</t>
  </si>
  <si>
    <t>Arcadia</t>
  </si>
  <si>
    <t>Hancock</t>
  </si>
  <si>
    <t>McComb</t>
  </si>
  <si>
    <t>Mt. Blanchard</t>
  </si>
  <si>
    <t>Mt. Cory</t>
  </si>
  <si>
    <t>Rawson</t>
  </si>
  <si>
    <t>Van Buren</t>
  </si>
  <si>
    <t>Vanlue</t>
  </si>
  <si>
    <t>Ada</t>
  </si>
  <si>
    <t>Hardin</t>
  </si>
  <si>
    <t>Dunkirk</t>
  </si>
  <si>
    <t>Forest</t>
  </si>
  <si>
    <t>Mcguffey</t>
  </si>
  <si>
    <t>Patterson</t>
  </si>
  <si>
    <t>Ridgeway</t>
  </si>
  <si>
    <t>Bowerston</t>
  </si>
  <si>
    <t>Harrison</t>
  </si>
  <si>
    <t>Deersville</t>
  </si>
  <si>
    <t>Freeport</t>
  </si>
  <si>
    <t>Scio</t>
  </si>
  <si>
    <t>Henry</t>
  </si>
  <si>
    <t>Holgate</t>
  </si>
  <si>
    <t>Highland</t>
  </si>
  <si>
    <t>Mowrystown</t>
  </si>
  <si>
    <t>Sinking Spring</t>
  </si>
  <si>
    <t>Holmes</t>
  </si>
  <si>
    <t>Holmesville</t>
  </si>
  <si>
    <t>Millersburg</t>
  </si>
  <si>
    <t>Monroeville</t>
  </si>
  <si>
    <t>Huron</t>
  </si>
  <si>
    <t>New London</t>
  </si>
  <si>
    <t>North Fairfield</t>
  </si>
  <si>
    <t>Wakeman</t>
  </si>
  <si>
    <t>Jefferson</t>
  </si>
  <si>
    <t>Amsterdam</t>
  </si>
  <si>
    <t>Bergholz</t>
  </si>
  <si>
    <t>Mingo Junction</t>
  </si>
  <si>
    <t>Stratton</t>
  </si>
  <si>
    <t>Yorkville</t>
  </si>
  <si>
    <t>Danville</t>
  </si>
  <si>
    <t>Knox</t>
  </si>
  <si>
    <t>Fredericktown</t>
  </si>
  <si>
    <t>Fairport Harbor</t>
  </si>
  <si>
    <t>Lake</t>
  </si>
  <si>
    <t>Grand River</t>
  </si>
  <si>
    <t>Madison</t>
  </si>
  <si>
    <t xml:space="preserve">Perry </t>
  </si>
  <si>
    <t>Timberlake</t>
  </si>
  <si>
    <t>Waite Hill</t>
  </si>
  <si>
    <t>Chesapeake</t>
  </si>
  <si>
    <t>Lawrence</t>
  </si>
  <si>
    <t>Granville</t>
  </si>
  <si>
    <t>Licking</t>
  </si>
  <si>
    <t>Gratiot</t>
  </si>
  <si>
    <t>Hartford</t>
  </si>
  <si>
    <t>Hebron</t>
  </si>
  <si>
    <t>St. Louisville</t>
  </si>
  <si>
    <t>Utica</t>
  </si>
  <si>
    <t>DeGraff</t>
  </si>
  <si>
    <t>Logan</t>
  </si>
  <si>
    <t>Russells Point</t>
  </si>
  <si>
    <t>Valley Hi</t>
  </si>
  <si>
    <t>Zanesfield</t>
  </si>
  <si>
    <t>Grafton</t>
  </si>
  <si>
    <t>Lorain</t>
  </si>
  <si>
    <t>Sheffield</t>
  </si>
  <si>
    <t>Wellington</t>
  </si>
  <si>
    <t>Holland</t>
  </si>
  <si>
    <t>Lucas</t>
  </si>
  <si>
    <t>Ottawa Hills</t>
  </si>
  <si>
    <t>Waterville</t>
  </si>
  <si>
    <t>Whitehouse</t>
  </si>
  <si>
    <t>Midway</t>
  </si>
  <si>
    <t>Plain City</t>
  </si>
  <si>
    <t>Sebring</t>
  </si>
  <si>
    <t>Mahoning</t>
  </si>
  <si>
    <t>Marion</t>
  </si>
  <si>
    <t>Meigs</t>
  </si>
  <si>
    <t>Burkettsville</t>
  </si>
  <si>
    <t>Mercer</t>
  </si>
  <si>
    <t>Fort Recovery</t>
  </si>
  <si>
    <t>Rockford</t>
  </si>
  <si>
    <t>Bradford</t>
  </si>
  <si>
    <t>Miami</t>
  </si>
  <si>
    <t>Potsdam</t>
  </si>
  <si>
    <t>West Milton</t>
  </si>
  <si>
    <t>Antioch</t>
  </si>
  <si>
    <t>Monroe</t>
  </si>
  <si>
    <t>Graysville</t>
  </si>
  <si>
    <t>Miltonsburg</t>
  </si>
  <si>
    <t>Stafford</t>
  </si>
  <si>
    <t>Wilson</t>
  </si>
  <si>
    <t>Montgomery</t>
  </si>
  <si>
    <t>Germantown</t>
  </si>
  <si>
    <t>New Lebanon</t>
  </si>
  <si>
    <t>Phillipsburg</t>
  </si>
  <si>
    <t>Adamsville</t>
  </si>
  <si>
    <t>Muskingum</t>
  </si>
  <si>
    <t>Fultonham</t>
  </si>
  <si>
    <t>New Concord</t>
  </si>
  <si>
    <t>Philo</t>
  </si>
  <si>
    <t>Roseville</t>
  </si>
  <si>
    <t>Batesville</t>
  </si>
  <si>
    <t>Noble</t>
  </si>
  <si>
    <t>Belle Valley</t>
  </si>
  <si>
    <t>Dexter City</t>
  </si>
  <si>
    <t>Genoa</t>
  </si>
  <si>
    <t>Oak Harbor</t>
  </si>
  <si>
    <t>Antwerp</t>
  </si>
  <si>
    <t>Paulding</t>
  </si>
  <si>
    <t>Broughton</t>
  </si>
  <si>
    <t>Payne</t>
  </si>
  <si>
    <t>Crooksville</t>
  </si>
  <si>
    <t>Perry</t>
  </si>
  <si>
    <t>Glenford</t>
  </si>
  <si>
    <t>Somerset</t>
  </si>
  <si>
    <t>Thornville</t>
  </si>
  <si>
    <t>Pickaway</t>
  </si>
  <si>
    <t>Piketon</t>
  </si>
  <si>
    <t>Pike</t>
  </si>
  <si>
    <t>Garrettsville</t>
  </si>
  <si>
    <t>Lewisburg</t>
  </si>
  <si>
    <t>Preble</t>
  </si>
  <si>
    <t>New Paris</t>
  </si>
  <si>
    <t>Verona</t>
  </si>
  <si>
    <t>West Alexandria</t>
  </si>
  <si>
    <t>Putnam</t>
  </si>
  <si>
    <t>Columbus Grove</t>
  </si>
  <si>
    <t>Glandorf</t>
  </si>
  <si>
    <t>Ottoville</t>
  </si>
  <si>
    <t>Pandora</t>
  </si>
  <si>
    <t>Butler</t>
  </si>
  <si>
    <t>Richland</t>
  </si>
  <si>
    <t>Lexington</t>
  </si>
  <si>
    <t>Shiloh</t>
  </si>
  <si>
    <t>South Salem</t>
  </si>
  <si>
    <t>Ross</t>
  </si>
  <si>
    <t>Burgoon</t>
  </si>
  <si>
    <t>Sandusky</t>
  </si>
  <si>
    <t>Gibsonburg</t>
  </si>
  <si>
    <t>Woodville</t>
  </si>
  <si>
    <t>New Boston</t>
  </si>
  <si>
    <t>Scioto</t>
  </si>
  <si>
    <t>Rarden</t>
  </si>
  <si>
    <t>Bettsville</t>
  </si>
  <si>
    <t>Seneca</t>
  </si>
  <si>
    <t>Bloomville</t>
  </si>
  <si>
    <t>Republic</t>
  </si>
  <si>
    <t>Botkins</t>
  </si>
  <si>
    <t>Shelby</t>
  </si>
  <si>
    <t xml:space="preserve">Lockington </t>
  </si>
  <si>
    <t>Russia</t>
  </si>
  <si>
    <t>Beach</t>
  </si>
  <si>
    <t>Stark</t>
  </si>
  <si>
    <t>Brewster</t>
  </si>
  <si>
    <t>East Canton</t>
  </si>
  <si>
    <t>Hartville</t>
  </si>
  <si>
    <t>Magnolia</t>
  </si>
  <si>
    <t xml:space="preserve">Minerva  </t>
  </si>
  <si>
    <t>Navarre</t>
  </si>
  <si>
    <t>Waynesburg</t>
  </si>
  <si>
    <t>Boston Heights</t>
  </si>
  <si>
    <t>Summit</t>
  </si>
  <si>
    <t>Mogadore</t>
  </si>
  <si>
    <t>Northfield</t>
  </si>
  <si>
    <t>Peninsula</t>
  </si>
  <si>
    <t>Richfield</t>
  </si>
  <si>
    <t>Silver Lake</t>
  </si>
  <si>
    <t>Lordstown</t>
  </si>
  <si>
    <t>Trumbell</t>
  </si>
  <si>
    <t>Trumbull</t>
  </si>
  <si>
    <t>McDonald</t>
  </si>
  <si>
    <t>Baltic</t>
  </si>
  <si>
    <t>Tuscarawas</t>
  </si>
  <si>
    <t>Barnhill</t>
  </si>
  <si>
    <t>Bolivar</t>
  </si>
  <si>
    <t>Gnadenhutten</t>
  </si>
  <si>
    <t>Newcomerstown</t>
  </si>
  <si>
    <t>Parral</t>
  </si>
  <si>
    <t>Stone Creek</t>
  </si>
  <si>
    <t>Strasburg</t>
  </si>
  <si>
    <t>Sugarcreek</t>
  </si>
  <si>
    <t>Unionville Center</t>
  </si>
  <si>
    <t>Union</t>
  </si>
  <si>
    <t>Elgin</t>
  </si>
  <si>
    <t>Van Wert</t>
  </si>
  <si>
    <t xml:space="preserve">Ohio City </t>
  </si>
  <si>
    <t>Scott</t>
  </si>
  <si>
    <t>Venedocia</t>
  </si>
  <si>
    <t>Willshire</t>
  </si>
  <si>
    <t>Wilkesville</t>
  </si>
  <si>
    <t>Zaleski</t>
  </si>
  <si>
    <t>Corwin</t>
  </si>
  <si>
    <t>Harveysburg</t>
  </si>
  <si>
    <t>Warren</t>
  </si>
  <si>
    <t>South Lebanon</t>
  </si>
  <si>
    <t>Waynesville</t>
  </si>
  <si>
    <t>Beverly</t>
  </si>
  <si>
    <t>Washington</t>
  </si>
  <si>
    <t>Marksburg</t>
  </si>
  <si>
    <t>Apple Creek</t>
  </si>
  <si>
    <t>Wayne</t>
  </si>
  <si>
    <t>Creston</t>
  </si>
  <si>
    <t>Wayne/Medina</t>
  </si>
  <si>
    <t>Dalton</t>
  </si>
  <si>
    <t>Doylestown</t>
  </si>
  <si>
    <t>Fredericksburg</t>
  </si>
  <si>
    <t>Smithville</t>
  </si>
  <si>
    <t>Edgerton</t>
  </si>
  <si>
    <t>Williams</t>
  </si>
  <si>
    <t>Montpelier</t>
  </si>
  <si>
    <t>Stryker</t>
  </si>
  <si>
    <t>West Unity</t>
  </si>
  <si>
    <t>Bairdstown</t>
  </si>
  <si>
    <t>Wood</t>
  </si>
  <si>
    <t>Bloomdale</t>
  </si>
  <si>
    <t>Bradner</t>
  </si>
  <si>
    <t>Luckey</t>
  </si>
  <si>
    <t>North Baltimore</t>
  </si>
  <si>
    <t>Pemberville</t>
  </si>
  <si>
    <t>Tontogany</t>
  </si>
  <si>
    <t>Carey</t>
  </si>
  <si>
    <t>Wyandot</t>
  </si>
  <si>
    <t>Nevada</t>
  </si>
  <si>
    <t>Miscellaneous</t>
  </si>
  <si>
    <t>Transportation</t>
  </si>
  <si>
    <t>Transfers-In</t>
  </si>
  <si>
    <t>Transfers-Out</t>
  </si>
  <si>
    <t>Villages</t>
  </si>
  <si>
    <t xml:space="preserve">Property </t>
  </si>
  <si>
    <t>and Other</t>
  </si>
  <si>
    <t xml:space="preserve"> Local Taxes</t>
  </si>
  <si>
    <t xml:space="preserve">Municipal </t>
  </si>
  <si>
    <t>Income Tax</t>
  </si>
  <si>
    <t>Intergovern-</t>
  </si>
  <si>
    <t>mental</t>
  </si>
  <si>
    <t xml:space="preserve">Special </t>
  </si>
  <si>
    <t>Assessments</t>
  </si>
  <si>
    <t>Charges for</t>
  </si>
  <si>
    <t>Services</t>
  </si>
  <si>
    <t xml:space="preserve">Fines, </t>
  </si>
  <si>
    <t>Licenses</t>
  </si>
  <si>
    <t>and Permits</t>
  </si>
  <si>
    <t>Earnings on</t>
  </si>
  <si>
    <t>Investments</t>
  </si>
  <si>
    <t xml:space="preserve">Sale of </t>
  </si>
  <si>
    <t>Fixed Assets</t>
  </si>
  <si>
    <t>Advances-In</t>
  </si>
  <si>
    <t xml:space="preserve">Other </t>
  </si>
  <si>
    <t>Financing</t>
  </si>
  <si>
    <t>Sources</t>
  </si>
  <si>
    <t xml:space="preserve">Security of </t>
  </si>
  <si>
    <t>Persons and</t>
  </si>
  <si>
    <t xml:space="preserve"> Property</t>
  </si>
  <si>
    <t>Public Health</t>
  </si>
  <si>
    <t xml:space="preserve"> Services</t>
  </si>
  <si>
    <t>Leisure Time</t>
  </si>
  <si>
    <t xml:space="preserve"> Activities</t>
  </si>
  <si>
    <t>Community</t>
  </si>
  <si>
    <t xml:space="preserve"> Environment</t>
  </si>
  <si>
    <t xml:space="preserve">Basic Utility </t>
  </si>
  <si>
    <t>General</t>
  </si>
  <si>
    <t xml:space="preserve"> Government</t>
  </si>
  <si>
    <t xml:space="preserve">Capital </t>
  </si>
  <si>
    <t>Outlay</t>
  </si>
  <si>
    <t>Redemption</t>
  </si>
  <si>
    <t xml:space="preserve"> of Principal</t>
  </si>
  <si>
    <t>Interest and</t>
  </si>
  <si>
    <t xml:space="preserve"> Other Fiscal</t>
  </si>
  <si>
    <t xml:space="preserve"> Charges</t>
  </si>
  <si>
    <t>Advances-Out</t>
  </si>
  <si>
    <t>Uses</t>
  </si>
  <si>
    <t>Adams</t>
  </si>
  <si>
    <t>Cherry Fork</t>
  </si>
  <si>
    <t xml:space="preserve">Adams </t>
  </si>
  <si>
    <t>Cloverdale</t>
  </si>
  <si>
    <t xml:space="preserve">Jackson </t>
  </si>
  <si>
    <t>Coalton</t>
  </si>
  <si>
    <t>Amanda</t>
  </si>
  <si>
    <t xml:space="preserve">Ashland </t>
  </si>
  <si>
    <t>Bailey Lakes</t>
  </si>
  <si>
    <t>Disbursements</t>
  </si>
  <si>
    <t>Receipts</t>
  </si>
  <si>
    <t>Roaming Shores</t>
  </si>
  <si>
    <t>Ashtabula</t>
  </si>
  <si>
    <t>Rock Creek</t>
  </si>
  <si>
    <t>Savannah</t>
  </si>
  <si>
    <t>Seaman</t>
  </si>
  <si>
    <t>Orwell</t>
  </si>
  <si>
    <t>Peebles</t>
  </si>
  <si>
    <t>Perrysville</t>
  </si>
  <si>
    <t>Polk</t>
  </si>
  <si>
    <t>Port Washington</t>
  </si>
  <si>
    <t>Marshallville</t>
  </si>
  <si>
    <t>Milton Center</t>
  </si>
  <si>
    <t>Bluffton</t>
  </si>
  <si>
    <t>Burton</t>
  </si>
  <si>
    <t>Newtonville</t>
  </si>
  <si>
    <t>North Kingsville</t>
  </si>
  <si>
    <t>Grower Hill</t>
  </si>
  <si>
    <t>Ithaca</t>
  </si>
  <si>
    <t xml:space="preserve">Butler    </t>
  </si>
  <si>
    <t>Jacksonburg</t>
  </si>
  <si>
    <t xml:space="preserve">Jefferson  </t>
  </si>
  <si>
    <t>Jenera</t>
  </si>
  <si>
    <t>Jeromesville</t>
  </si>
  <si>
    <t>Jerry City</t>
  </si>
  <si>
    <t>Junction City</t>
  </si>
  <si>
    <t>Kelley's Island</t>
  </si>
  <si>
    <t>Kirkersville</t>
  </si>
  <si>
    <t>Lakeview</t>
  </si>
  <si>
    <t>Lakeline</t>
  </si>
  <si>
    <t>Mercer/Darke</t>
  </si>
  <si>
    <t>Rutland</t>
  </si>
  <si>
    <t>New Straitsville</t>
  </si>
  <si>
    <t>Cairo</t>
  </si>
  <si>
    <t>Allen</t>
  </si>
  <si>
    <t>Alger</t>
  </si>
  <si>
    <t>Aquilla</t>
  </si>
  <si>
    <t>Governmental Activities</t>
  </si>
  <si>
    <t xml:space="preserve">All Villages Reporting Using GASB 34 Format </t>
  </si>
  <si>
    <t>Program Receipts</t>
  </si>
  <si>
    <t>Transfers</t>
  </si>
  <si>
    <t>Special</t>
  </si>
  <si>
    <t>Net</t>
  </si>
  <si>
    <t>Property</t>
  </si>
  <si>
    <t>and/or</t>
  </si>
  <si>
    <t>Change</t>
  </si>
  <si>
    <t>Cash</t>
  </si>
  <si>
    <t>Contributions</t>
  </si>
  <si>
    <t>Capital</t>
  </si>
  <si>
    <t>and Other Local</t>
  </si>
  <si>
    <t>Income</t>
  </si>
  <si>
    <t>Unrestricted</t>
  </si>
  <si>
    <t>Investment</t>
  </si>
  <si>
    <t>Debt</t>
  </si>
  <si>
    <t>Avances</t>
  </si>
  <si>
    <t>Extraordinary</t>
  </si>
  <si>
    <t>in Net</t>
  </si>
  <si>
    <t>Village</t>
  </si>
  <si>
    <t>County</t>
  </si>
  <si>
    <t>and Interest</t>
  </si>
  <si>
    <t>Grants</t>
  </si>
  <si>
    <t>(Disbursements)</t>
  </si>
  <si>
    <t>Taxes</t>
  </si>
  <si>
    <t>Earnings</t>
  </si>
  <si>
    <t>Other</t>
  </si>
  <si>
    <t>Proceeds</t>
  </si>
  <si>
    <t>In/(Out)</t>
  </si>
  <si>
    <t>Items</t>
  </si>
  <si>
    <t xml:space="preserve">Allen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</si>
  <si>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</si>
  <si>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</si>
  <si>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</si>
  <si>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</si>
  <si>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</t>
  </si>
  <si>
    <t xml:space="preserve">Butler </t>
  </si>
  <si>
    <t xml:space="preserve">Carroll </t>
  </si>
  <si>
    <t xml:space="preserve">Champaign </t>
  </si>
  <si>
    <t xml:space="preserve">Clark </t>
  </si>
  <si>
    <t xml:space="preserve">Clermont </t>
  </si>
  <si>
    <t xml:space="preserve">Clinton </t>
  </si>
  <si>
    <t xml:space="preserve">Columbiana </t>
  </si>
  <si>
    <t xml:space="preserve">Crawford </t>
  </si>
  <si>
    <t xml:space="preserve">Cuyahoga </t>
  </si>
  <si>
    <t xml:space="preserve">Darke </t>
  </si>
  <si>
    <t xml:space="preserve">Defiance </t>
  </si>
  <si>
    <t xml:space="preserve">Delaware </t>
  </si>
  <si>
    <t xml:space="preserve">Erie </t>
  </si>
  <si>
    <t xml:space="preserve">Fairfield </t>
  </si>
  <si>
    <t xml:space="preserve">Fayette </t>
  </si>
  <si>
    <t xml:space="preserve">Franklin </t>
  </si>
  <si>
    <t xml:space="preserve">Fulton </t>
  </si>
  <si>
    <t xml:space="preserve">Gallia </t>
  </si>
  <si>
    <t xml:space="preserve">Greene </t>
  </si>
  <si>
    <t xml:space="preserve">Guernsey </t>
  </si>
  <si>
    <t xml:space="preserve">Hamilton </t>
  </si>
  <si>
    <t xml:space="preserve">Hardin </t>
  </si>
  <si>
    <t xml:space="preserve">Harrison </t>
  </si>
  <si>
    <t xml:space="preserve">Henry </t>
  </si>
  <si>
    <t xml:space="preserve">Highland </t>
  </si>
  <si>
    <t xml:space="preserve">Hocking </t>
  </si>
  <si>
    <t xml:space="preserve">Huron </t>
  </si>
  <si>
    <t xml:space="preserve">Jefferson </t>
  </si>
  <si>
    <t xml:space="preserve">Knox </t>
  </si>
  <si>
    <t xml:space="preserve">Lake </t>
  </si>
  <si>
    <t xml:space="preserve">Lawrence </t>
  </si>
  <si>
    <t xml:space="preserve">Licking </t>
  </si>
  <si>
    <t xml:space="preserve">Logan </t>
  </si>
  <si>
    <t xml:space="preserve">Lorain </t>
  </si>
  <si>
    <t xml:space="preserve">Lucas </t>
  </si>
  <si>
    <t xml:space="preserve">Madison </t>
  </si>
  <si>
    <t xml:space="preserve">Mahoning </t>
  </si>
  <si>
    <t xml:space="preserve">Marion </t>
  </si>
  <si>
    <t xml:space="preserve">Medina </t>
  </si>
  <si>
    <t xml:space="preserve">Meigs </t>
  </si>
  <si>
    <t xml:space="preserve">Mercer </t>
  </si>
  <si>
    <t xml:space="preserve">Miami </t>
  </si>
  <si>
    <t xml:space="preserve">Monroe </t>
  </si>
  <si>
    <t xml:space="preserve">Montgomery </t>
  </si>
  <si>
    <t xml:space="preserve">Morgan </t>
  </si>
  <si>
    <t xml:space="preserve">Morrow </t>
  </si>
  <si>
    <t xml:space="preserve">Muskingum </t>
  </si>
  <si>
    <t xml:space="preserve">Noble </t>
  </si>
  <si>
    <t xml:space="preserve">Ottawa </t>
  </si>
  <si>
    <t xml:space="preserve">Paulding </t>
  </si>
  <si>
    <t xml:space="preserve">Pickaway </t>
  </si>
  <si>
    <t xml:space="preserve">Pike </t>
  </si>
  <si>
    <t xml:space="preserve">Portage </t>
  </si>
  <si>
    <t xml:space="preserve">Preble </t>
  </si>
  <si>
    <t xml:space="preserve">Putnam </t>
  </si>
  <si>
    <t xml:space="preserve">Richland </t>
  </si>
  <si>
    <t xml:space="preserve">Ross </t>
  </si>
  <si>
    <t xml:space="preserve">Sandusky </t>
  </si>
  <si>
    <t xml:space="preserve">Scioto </t>
  </si>
  <si>
    <t xml:space="preserve">Seneca </t>
  </si>
  <si>
    <t xml:space="preserve">Shelby </t>
  </si>
  <si>
    <t xml:space="preserve">Stark </t>
  </si>
  <si>
    <t xml:space="preserve">Trumbull </t>
  </si>
  <si>
    <t xml:space="preserve">Tuscarawas </t>
  </si>
  <si>
    <t xml:space="preserve">Union </t>
  </si>
  <si>
    <t xml:space="preserve">Van Wert </t>
  </si>
  <si>
    <t xml:space="preserve">Warren </t>
  </si>
  <si>
    <t xml:space="preserve">Washington </t>
  </si>
  <si>
    <t xml:space="preserve">Wayne </t>
  </si>
  <si>
    <t xml:space="preserve">Williams </t>
  </si>
  <si>
    <t xml:space="preserve">Wood </t>
  </si>
  <si>
    <t xml:space="preserve">Wyandot </t>
  </si>
  <si>
    <t>Total</t>
  </si>
  <si>
    <t>Donnelsville</t>
  </si>
  <si>
    <t>Lakemore</t>
  </si>
  <si>
    <t>Rocky Ridge</t>
  </si>
  <si>
    <t>Rome</t>
  </si>
  <si>
    <t>Hanover</t>
  </si>
  <si>
    <t>South Charleston</t>
  </si>
  <si>
    <t>Cable</t>
  </si>
  <si>
    <t>Franchise Fees</t>
  </si>
  <si>
    <t>Net Assets</t>
  </si>
  <si>
    <t>End of Year</t>
  </si>
  <si>
    <t>Centerville</t>
  </si>
  <si>
    <t>Sparta</t>
  </si>
  <si>
    <t>Marblehead</t>
  </si>
  <si>
    <t>Kalida</t>
  </si>
  <si>
    <t>Cygnet</t>
  </si>
  <si>
    <t>North Randall</t>
  </si>
  <si>
    <t>Harrisville</t>
  </si>
  <si>
    <t>Linndale</t>
  </si>
  <si>
    <t>Mendon</t>
  </si>
  <si>
    <t>Warsaw</t>
  </si>
  <si>
    <t>Ashville</t>
  </si>
  <si>
    <t>Bainbridge</t>
  </si>
  <si>
    <t>Chickasaw</t>
  </si>
  <si>
    <t>Cleves</t>
  </si>
  <si>
    <t>Lowellville</t>
  </si>
  <si>
    <t>New Waterford</t>
  </si>
  <si>
    <t>Rushsylvania</t>
  </si>
  <si>
    <t>Spencer</t>
  </si>
  <si>
    <t>Tiro</t>
  </si>
  <si>
    <t>Wilmot</t>
  </si>
  <si>
    <t>Wintersville</t>
  </si>
  <si>
    <t>General Receipts</t>
  </si>
  <si>
    <t>General Fund Revenues</t>
  </si>
  <si>
    <t>General Fund Expenditures</t>
  </si>
  <si>
    <t>(Continued)</t>
  </si>
  <si>
    <t>Glenmont</t>
  </si>
  <si>
    <t>Sale of</t>
  </si>
  <si>
    <t>Bonds</t>
  </si>
  <si>
    <t>Notes</t>
  </si>
  <si>
    <t>Government</t>
  </si>
  <si>
    <t>Environment</t>
  </si>
  <si>
    <t>Governmental Fund Revenues</t>
  </si>
  <si>
    <t>Governmental Fund Expenditures</t>
  </si>
  <si>
    <t xml:space="preserve">This is a </t>
  </si>
  <si>
    <t xml:space="preserve">Calculation </t>
  </si>
  <si>
    <t>Used for Testing</t>
  </si>
  <si>
    <t xml:space="preserve">Hide columns </t>
  </si>
  <si>
    <t xml:space="preserve">General </t>
  </si>
  <si>
    <t>Reconciliation</t>
  </si>
  <si>
    <t>EOY</t>
  </si>
  <si>
    <t>Change in</t>
  </si>
  <si>
    <t>Receipt</t>
  </si>
  <si>
    <t xml:space="preserve">Fund </t>
  </si>
  <si>
    <t>Balance</t>
  </si>
  <si>
    <t>BOY</t>
  </si>
  <si>
    <t>Fund</t>
  </si>
  <si>
    <t xml:space="preserve">Balance </t>
  </si>
  <si>
    <t xml:space="preserve">Fill in these amount but they </t>
  </si>
  <si>
    <t>are not to be included as part</t>
  </si>
  <si>
    <t>of the print area</t>
  </si>
  <si>
    <t>Adena</t>
  </si>
  <si>
    <t>Athalia</t>
  </si>
  <si>
    <t>Benton Ridge</t>
  </si>
  <si>
    <t>.</t>
  </si>
  <si>
    <t>Brady Lake</t>
  </si>
  <si>
    <t>Chesterhill</t>
  </si>
  <si>
    <t>Morgan</t>
  </si>
  <si>
    <t>Chilo</t>
  </si>
  <si>
    <t>Coldwater</t>
  </si>
  <si>
    <t>Covington</t>
  </si>
  <si>
    <t>Fairview</t>
  </si>
  <si>
    <t>Gambier</t>
  </si>
  <si>
    <t>Hemlock</t>
  </si>
  <si>
    <t>Killbuck</t>
  </si>
  <si>
    <t>Leipsic</t>
  </si>
  <si>
    <t>Midland</t>
  </si>
  <si>
    <t>Palestine</t>
  </si>
  <si>
    <t>Pioneer</t>
  </si>
  <si>
    <t>Plainfield</t>
  </si>
  <si>
    <t>Port Jefferson</t>
  </si>
  <si>
    <t>Roswell</t>
  </si>
  <si>
    <t>Shreve</t>
  </si>
  <si>
    <t>South Amherst</t>
  </si>
  <si>
    <t>West Leipsic</t>
  </si>
  <si>
    <t>West Manchester</t>
  </si>
  <si>
    <t>Wharton</t>
  </si>
  <si>
    <t>Miami/Darke</t>
  </si>
  <si>
    <t>Beginning of Year</t>
  </si>
  <si>
    <t>Kirtland Hills</t>
  </si>
  <si>
    <t xml:space="preserve">Orange </t>
  </si>
  <si>
    <t>Sarahsville</t>
  </si>
  <si>
    <t>Loudonville</t>
  </si>
  <si>
    <t>Evandale</t>
  </si>
  <si>
    <t>Cuyahoga Heights</t>
  </si>
  <si>
    <t>Blanchester</t>
  </si>
  <si>
    <t>Hocking</t>
  </si>
  <si>
    <t>Lithopolis</t>
  </si>
  <si>
    <t>Manchester</t>
  </si>
  <si>
    <t>Ashley</t>
  </si>
  <si>
    <t>Andover</t>
  </si>
  <si>
    <t>Belmore</t>
  </si>
  <si>
    <t>Casstown</t>
  </si>
  <si>
    <t>Congress</t>
  </si>
  <si>
    <t>Coolville</t>
  </si>
  <si>
    <t>Corp of South Zanesville</t>
  </si>
  <si>
    <t>Fletcher</t>
  </si>
  <si>
    <t>Flushing</t>
  </si>
  <si>
    <t>Fort Shawnee</t>
  </si>
  <si>
    <t>Hamler</t>
  </si>
  <si>
    <t>Harrisburg</t>
  </si>
  <si>
    <t>Leesburg</t>
  </si>
  <si>
    <t>Lockbourne</t>
  </si>
  <si>
    <t>Malta</t>
  </si>
  <si>
    <t>Middle Point</t>
  </si>
  <si>
    <t>Morral</t>
  </si>
  <si>
    <t>Nashville</t>
  </si>
  <si>
    <t>New Miami</t>
  </si>
  <si>
    <t>Russellville</t>
  </si>
  <si>
    <t>Salesville</t>
  </si>
  <si>
    <t>Somerville</t>
  </si>
  <si>
    <t>Stoutsville</t>
  </si>
  <si>
    <t>West Elkton</t>
  </si>
  <si>
    <t>West Jefferson</t>
  </si>
  <si>
    <t>West Mansfield</t>
  </si>
  <si>
    <t>Trimble</t>
  </si>
  <si>
    <t>Silverton</t>
  </si>
  <si>
    <t>Carlisle</t>
  </si>
  <si>
    <t>Newton Falls</t>
  </si>
  <si>
    <t>East Palestine</t>
  </si>
  <si>
    <t>Rayland</t>
  </si>
  <si>
    <t>Greenfield</t>
  </si>
  <si>
    <t>Highland Hills</t>
  </si>
  <si>
    <t>Lodi</t>
  </si>
  <si>
    <t>Medina</t>
  </si>
  <si>
    <t>to a Permanent</t>
  </si>
  <si>
    <t>Old Washington</t>
  </si>
  <si>
    <t>Crestline</t>
  </si>
  <si>
    <t>For the Year Ended December 31, 2012</t>
  </si>
  <si>
    <t>Position</t>
  </si>
  <si>
    <t>Net Position</t>
  </si>
  <si>
    <t>n/a</t>
  </si>
  <si>
    <t>Fines,</t>
  </si>
  <si>
    <t>Jacksonville</t>
  </si>
  <si>
    <t>Darbyville</t>
  </si>
  <si>
    <t>Higginsport</t>
  </si>
  <si>
    <t>Kettlersville</t>
  </si>
  <si>
    <t>Mt. Gilead</t>
  </si>
  <si>
    <t>New Lexington</t>
  </si>
  <si>
    <t>Marseilles</t>
  </si>
  <si>
    <t>Waverly</t>
  </si>
  <si>
    <t>St. Bernard</t>
  </si>
  <si>
    <t>La Rue</t>
  </si>
  <si>
    <t>Special and/or</t>
  </si>
  <si>
    <t>Rendville</t>
  </si>
  <si>
    <t>Operating Grants,</t>
  </si>
  <si>
    <t>Contributions,</t>
  </si>
  <si>
    <t>Summary Information from the Statement of Activities - 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</si>
</sst>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Times New Roman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7" fontId="2" fillId="0" borderId="0">
      <alignment horizontal="right"/>
    </xf>
    <xf numFmtId="5" fontId="2" fillId="0" borderId="0">
      <alignment horizontal="right"/>
    </xf>
    <xf numFmtId="0" fontId="9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37" fontId="2" fillId="0" borderId="0" xfId="0" applyNumberFormat="1" applyFont="1"/>
    <xf numFmtId="37" fontId="5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 wrapText="1"/>
    </xf>
    <xf numFmtId="37" fontId="2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7" fontId="5" fillId="0" borderId="0" xfId="0" applyNumberFormat="1" applyFont="1"/>
    <xf numFmtId="37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37" fontId="2" fillId="0" borderId="0" xfId="0" applyNumberFormat="1" applyFont="1" applyFill="1"/>
    <xf numFmtId="0" fontId="2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37" fontId="5" fillId="0" borderId="0" xfId="0" applyNumberFormat="1" applyFont="1" applyFill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37" fontId="2" fillId="0" borderId="0" xfId="0" applyNumberFormat="1" applyFont="1" applyBorder="1" applyAlignment="1">
      <alignment horizontal="right"/>
    </xf>
    <xf numFmtId="5" fontId="2" fillId="0" borderId="0" xfId="0" applyNumberFormat="1" applyFont="1"/>
    <xf numFmtId="5" fontId="2" fillId="0" borderId="0" xfId="0" applyNumberFormat="1" applyFont="1" applyFill="1"/>
    <xf numFmtId="37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37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5" fontId="5" fillId="0" borderId="0" xfId="0" applyNumberFormat="1" applyFont="1"/>
    <xf numFmtId="5" fontId="6" fillId="0" borderId="0" xfId="0" applyNumberFormat="1" applyFont="1"/>
    <xf numFmtId="37" fontId="6" fillId="0" borderId="0" xfId="0" applyNumberFormat="1" applyFont="1"/>
    <xf numFmtId="37" fontId="2" fillId="0" borderId="0" xfId="0" applyNumberFormat="1" applyFont="1" applyBorder="1" applyAlignment="1"/>
    <xf numFmtId="3" fontId="2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5" fontId="5" fillId="0" borderId="0" xfId="0" applyNumberFormat="1" applyFont="1" applyFill="1"/>
    <xf numFmtId="37" fontId="6" fillId="0" borderId="0" xfId="0" applyNumberFormat="1" applyFont="1" applyFill="1"/>
    <xf numFmtId="37" fontId="5" fillId="0" borderId="0" xfId="0" applyNumberFormat="1" applyFont="1" applyFill="1" applyBorder="1"/>
    <xf numFmtId="37" fontId="3" fillId="0" borderId="0" xfId="0" applyNumberFormat="1" applyFont="1" applyFill="1" applyAlignment="1"/>
    <xf numFmtId="37" fontId="4" fillId="0" borderId="0" xfId="0" applyNumberFormat="1" applyFont="1" applyFill="1" applyAlignment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5" fontId="5" fillId="0" borderId="0" xfId="0" applyNumberFormat="1" applyFont="1" applyFill="1" applyBorder="1"/>
    <xf numFmtId="0" fontId="2" fillId="0" borderId="0" xfId="0" applyFont="1" applyBorder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 horizontal="right"/>
    </xf>
    <xf numFmtId="37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7" fontId="2" fillId="0" borderId="0" xfId="2" applyNumberFormat="1" applyFont="1" applyBorder="1" applyAlignment="1">
      <alignment horizontal="right"/>
    </xf>
    <xf numFmtId="37" fontId="2" fillId="0" borderId="0" xfId="1" applyFo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5" fontId="2" fillId="0" borderId="0" xfId="2" applyFont="1">
      <alignment horizontal="right"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5" fontId="2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5" fontId="2" fillId="0" borderId="0" xfId="0" applyNumberFormat="1" applyFont="1" applyFill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Currency good" xfId="2"/>
    <cellStyle name="Normal" xfId="0" builtinId="0"/>
    <cellStyle name="Normal 2" xfId="3"/>
    <cellStyle name="THE form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4"/>
  <sheetViews>
    <sheetView tabSelected="1" view="pageBreakPreview" zoomScale="130" zoomScaleNormal="100" zoomScaleSheetLayoutView="130" workbookViewId="0">
      <pane xSplit="4" ySplit="10" topLeftCell="X98" activePane="bottomRight" state="frozen"/>
      <selection pane="topRight" activeCell="E1" sqref="E1"/>
      <selection pane="bottomLeft" activeCell="A11" sqref="A11"/>
      <selection pane="bottomRight"/>
    </sheetView>
  </sheetViews>
  <sheetFormatPr defaultRowHeight="12.75" x14ac:dyDescent="0.2"/>
  <cols>
    <col min="1" max="1" width="24.1640625" style="23" customWidth="1"/>
    <col min="2" max="2" width="1.83203125" style="23" customWidth="1"/>
    <col min="3" max="3" width="13.83203125" style="23" customWidth="1"/>
    <col min="4" max="4" width="1.83203125" style="23" customWidth="1"/>
    <col min="5" max="5" width="14.5" bestFit="1" customWidth="1"/>
    <col min="6" max="6" width="1.83203125" customWidth="1"/>
    <col min="7" max="7" width="11.83203125" customWidth="1"/>
    <col min="8" max="8" width="1.83203125" customWidth="1"/>
    <col min="9" max="9" width="12.83203125" customWidth="1"/>
    <col min="10" max="10" width="1.83203125" customWidth="1"/>
    <col min="11" max="11" width="11.83203125" customWidth="1"/>
    <col min="12" max="12" width="1.83203125" customWidth="1"/>
    <col min="13" max="13" width="13.1640625" style="23" customWidth="1"/>
    <col min="14" max="14" width="1.83203125" style="23" customWidth="1"/>
    <col min="15" max="15" width="16.1640625" style="23" hidden="1" customWidth="1"/>
    <col min="16" max="16" width="1.83203125" style="23" hidden="1" customWidth="1"/>
    <col min="17" max="17" width="15.83203125" style="23" customWidth="1"/>
    <col min="18" max="18" width="1.83203125" style="23" customWidth="1"/>
    <col min="19" max="19" width="11.83203125" style="23" customWidth="1"/>
    <col min="20" max="20" width="1.83203125" style="23" customWidth="1"/>
    <col min="21" max="21" width="11.83203125" style="23" customWidth="1"/>
    <col min="22" max="22" width="1.6640625" style="23" customWidth="1"/>
    <col min="23" max="23" width="11.83203125" style="23" customWidth="1"/>
    <col min="24" max="24" width="1.83203125" style="23" customWidth="1"/>
    <col min="25" max="25" width="13.6640625" style="23" customWidth="1"/>
    <col min="26" max="26" width="1.83203125" style="23" customWidth="1"/>
    <col min="27" max="27" width="11.83203125" style="23" customWidth="1"/>
    <col min="28" max="28" width="1.83203125" style="23" customWidth="1"/>
    <col min="29" max="29" width="11.83203125" style="23" customWidth="1"/>
    <col min="30" max="30" width="1.83203125" style="23" customWidth="1"/>
    <col min="31" max="31" width="13.83203125" style="23" customWidth="1"/>
    <col min="32" max="32" width="1.83203125" style="23" customWidth="1"/>
    <col min="33" max="33" width="13.6640625" style="23" customWidth="1"/>
    <col min="34" max="34" width="1.83203125" style="23" customWidth="1"/>
    <col min="35" max="35" width="13.83203125" style="23" customWidth="1"/>
    <col min="36" max="36" width="1.83203125" style="23" customWidth="1"/>
    <col min="37" max="37" width="13.83203125" style="23" customWidth="1"/>
    <col min="38" max="38" width="1.83203125" style="23" customWidth="1"/>
    <col min="39" max="39" width="13.83203125" style="23" customWidth="1"/>
    <col min="40" max="40" width="1.83203125" style="23" customWidth="1"/>
    <col min="41" max="41" width="15.6640625" customWidth="1"/>
    <col min="42" max="42" width="1.83203125" customWidth="1"/>
    <col min="43" max="43" width="13.83203125" customWidth="1"/>
    <col min="44" max="44" width="2.6640625" customWidth="1"/>
    <col min="45" max="45" width="16.6640625" bestFit="1" customWidth="1"/>
    <col min="46" max="46" width="1.83203125" customWidth="1"/>
    <col min="47" max="47" width="10.6640625" bestFit="1" customWidth="1"/>
    <col min="48" max="48" width="1.83203125" customWidth="1"/>
    <col min="49" max="49" width="13.83203125" bestFit="1" customWidth="1"/>
    <col min="50" max="50" width="1.83203125" customWidth="1"/>
    <col min="51" max="51" width="13.83203125" bestFit="1" customWidth="1"/>
  </cols>
  <sheetData>
    <row r="1" spans="1:51" s="23" customFormat="1" x14ac:dyDescent="0.2">
      <c r="A1" s="23" t="s">
        <v>972</v>
      </c>
      <c r="M1" s="46"/>
      <c r="N1" s="46"/>
      <c r="O1" s="46"/>
      <c r="P1" s="46"/>
      <c r="Q1" s="46"/>
    </row>
    <row r="2" spans="1:51" s="23" customFormat="1" x14ac:dyDescent="0.2">
      <c r="A2" s="23" t="s">
        <v>706</v>
      </c>
      <c r="O2" s="23" t="s">
        <v>859</v>
      </c>
    </row>
    <row r="3" spans="1:51" s="23" customFormat="1" x14ac:dyDescent="0.2">
      <c r="A3" s="23" t="s">
        <v>953</v>
      </c>
      <c r="O3" s="23" t="s">
        <v>860</v>
      </c>
    </row>
    <row r="4" spans="1:51" s="23" customFormat="1" x14ac:dyDescent="0.2">
      <c r="A4" s="80" t="s">
        <v>850</v>
      </c>
      <c r="O4" s="23" t="s">
        <v>861</v>
      </c>
    </row>
    <row r="5" spans="1:51" s="23" customFormat="1" x14ac:dyDescent="0.2">
      <c r="A5" s="23" t="s">
        <v>707</v>
      </c>
      <c r="O5" s="23" t="s">
        <v>862</v>
      </c>
    </row>
    <row r="6" spans="1:51" x14ac:dyDescent="0.2">
      <c r="A6" s="33"/>
      <c r="B6" s="33"/>
      <c r="E6" s="1"/>
      <c r="F6" s="1"/>
      <c r="G6" s="92" t="s">
        <v>708</v>
      </c>
      <c r="H6" s="92"/>
      <c r="I6" s="92"/>
      <c r="J6" s="92"/>
      <c r="K6" s="92"/>
      <c r="L6" s="1"/>
      <c r="Q6" s="92" t="s">
        <v>847</v>
      </c>
      <c r="R6" s="92"/>
      <c r="S6" s="92"/>
      <c r="T6" s="92"/>
      <c r="U6" s="92"/>
      <c r="W6" s="92" t="s">
        <v>847</v>
      </c>
      <c r="X6" s="92"/>
      <c r="Y6" s="92"/>
      <c r="Z6" s="92"/>
      <c r="AA6" s="92"/>
      <c r="AB6" s="92"/>
      <c r="AC6" s="92"/>
      <c r="AE6" s="34"/>
      <c r="AF6" s="34"/>
      <c r="AG6" s="34"/>
      <c r="AH6" s="34"/>
    </row>
    <row r="7" spans="1:51" s="1" customFormat="1" ht="12" x14ac:dyDescent="0.2">
      <c r="G7" s="90"/>
      <c r="H7" s="90"/>
      <c r="I7" s="90"/>
      <c r="J7" s="90"/>
      <c r="K7" s="90"/>
      <c r="L7" s="4"/>
      <c r="M7" s="75"/>
      <c r="N7" s="75"/>
      <c r="O7" s="75"/>
      <c r="P7" s="75"/>
      <c r="Q7" s="4"/>
      <c r="R7" s="4"/>
      <c r="S7" s="4"/>
      <c r="T7" s="4"/>
      <c r="U7" s="4"/>
      <c r="V7" s="90"/>
      <c r="W7" s="4"/>
      <c r="X7" s="4"/>
      <c r="Y7" s="4"/>
      <c r="Z7" s="4"/>
      <c r="AA7" s="4"/>
      <c r="AB7" s="4"/>
      <c r="AC7" s="4"/>
      <c r="AD7" s="4"/>
      <c r="AE7" s="3" t="s">
        <v>709</v>
      </c>
      <c r="AF7" s="3"/>
      <c r="AH7" s="3"/>
      <c r="AI7" s="4" t="s">
        <v>710</v>
      </c>
      <c r="AJ7" s="4"/>
      <c r="AK7" s="4"/>
      <c r="AL7" s="4"/>
      <c r="AM7" s="4"/>
      <c r="AN7" s="4"/>
      <c r="AS7" s="93" t="s">
        <v>864</v>
      </c>
      <c r="AT7" s="93"/>
      <c r="AU7" s="93"/>
      <c r="AV7" s="93"/>
      <c r="AW7" s="93"/>
      <c r="AX7" s="93"/>
      <c r="AY7" s="93"/>
    </row>
    <row r="8" spans="1:51" s="1" customFormat="1" ht="12" x14ac:dyDescent="0.2">
      <c r="I8" s="3" t="s">
        <v>970</v>
      </c>
      <c r="J8" s="3"/>
      <c r="M8" s="3" t="s">
        <v>711</v>
      </c>
      <c r="N8" s="3"/>
      <c r="O8" s="3" t="s">
        <v>711</v>
      </c>
      <c r="P8" s="3"/>
      <c r="Q8" s="4" t="s">
        <v>712</v>
      </c>
      <c r="R8" s="4"/>
      <c r="AE8" s="56" t="s">
        <v>713</v>
      </c>
      <c r="AF8" s="56"/>
      <c r="AG8" s="56" t="s">
        <v>716</v>
      </c>
      <c r="AH8" s="56"/>
      <c r="AI8" s="56" t="s">
        <v>713</v>
      </c>
      <c r="AJ8" s="56"/>
      <c r="AK8" s="56" t="s">
        <v>815</v>
      </c>
      <c r="AL8" s="56"/>
      <c r="AM8" s="4" t="s">
        <v>714</v>
      </c>
      <c r="AN8" s="4"/>
      <c r="AS8" s="4" t="s">
        <v>711</v>
      </c>
      <c r="AT8" s="4"/>
      <c r="AU8" s="4"/>
      <c r="AV8" s="4"/>
      <c r="AW8" s="4"/>
      <c r="AX8" s="4"/>
      <c r="AY8" s="4"/>
    </row>
    <row r="9" spans="1:51" s="1" customFormat="1" ht="12" x14ac:dyDescent="0.2">
      <c r="A9" s="44"/>
      <c r="B9" s="44"/>
      <c r="C9" s="44"/>
      <c r="D9" s="44"/>
      <c r="E9" s="26" t="s">
        <v>715</v>
      </c>
      <c r="F9" s="26"/>
      <c r="G9" s="3" t="s">
        <v>625</v>
      </c>
      <c r="H9" s="3"/>
      <c r="I9" s="4" t="s">
        <v>971</v>
      </c>
      <c r="J9" s="4"/>
      <c r="K9" s="4" t="s">
        <v>717</v>
      </c>
      <c r="L9" s="3"/>
      <c r="M9" s="3" t="s">
        <v>669</v>
      </c>
      <c r="N9" s="3"/>
      <c r="O9" s="3" t="s">
        <v>669</v>
      </c>
      <c r="P9" s="3"/>
      <c r="Q9" s="4" t="s">
        <v>718</v>
      </c>
      <c r="R9" s="4"/>
      <c r="S9" s="4" t="s">
        <v>719</v>
      </c>
      <c r="T9" s="4"/>
      <c r="U9" s="4" t="s">
        <v>720</v>
      </c>
      <c r="V9" s="4"/>
      <c r="W9" s="3" t="s">
        <v>721</v>
      </c>
      <c r="X9" s="3"/>
      <c r="Y9" s="3" t="s">
        <v>822</v>
      </c>
      <c r="Z9" s="3"/>
      <c r="AA9" s="3"/>
      <c r="AB9" s="3"/>
      <c r="AC9" s="3" t="s">
        <v>722</v>
      </c>
      <c r="AD9" s="3"/>
      <c r="AE9" s="3" t="s">
        <v>723</v>
      </c>
      <c r="AF9" s="3"/>
      <c r="AG9" s="3" t="s">
        <v>950</v>
      </c>
      <c r="AH9" s="3"/>
      <c r="AI9" s="3" t="s">
        <v>724</v>
      </c>
      <c r="AJ9" s="3"/>
      <c r="AK9" s="3" t="s">
        <v>863</v>
      </c>
      <c r="AL9" s="3"/>
      <c r="AM9" s="4" t="s">
        <v>725</v>
      </c>
      <c r="AN9" s="4"/>
      <c r="AO9" s="56" t="s">
        <v>955</v>
      </c>
      <c r="AP9" s="56"/>
      <c r="AQ9" s="56" t="s">
        <v>955</v>
      </c>
      <c r="AS9" s="4" t="s">
        <v>867</v>
      </c>
      <c r="AT9" s="4"/>
      <c r="AU9" s="4" t="s">
        <v>648</v>
      </c>
      <c r="AV9" s="4"/>
      <c r="AW9" s="4" t="s">
        <v>866</v>
      </c>
      <c r="AX9" s="4"/>
      <c r="AY9" s="4" t="s">
        <v>865</v>
      </c>
    </row>
    <row r="10" spans="1:51" s="1" customFormat="1" ht="12" x14ac:dyDescent="0.2">
      <c r="A10" s="27" t="s">
        <v>726</v>
      </c>
      <c r="B10" s="42"/>
      <c r="C10" s="27" t="s">
        <v>727</v>
      </c>
      <c r="D10" s="42"/>
      <c r="E10" s="27" t="s">
        <v>668</v>
      </c>
      <c r="F10" s="42"/>
      <c r="G10" s="83" t="s">
        <v>626</v>
      </c>
      <c r="H10" s="4"/>
      <c r="I10" s="83" t="s">
        <v>728</v>
      </c>
      <c r="J10" s="4"/>
      <c r="K10" s="83" t="s">
        <v>729</v>
      </c>
      <c r="L10" s="4"/>
      <c r="M10" s="83" t="s">
        <v>730</v>
      </c>
      <c r="N10" s="4"/>
      <c r="O10" s="4" t="s">
        <v>730</v>
      </c>
      <c r="P10" s="4"/>
      <c r="Q10" s="83" t="s">
        <v>731</v>
      </c>
      <c r="R10" s="4"/>
      <c r="S10" s="83" t="s">
        <v>731</v>
      </c>
      <c r="T10" s="4"/>
      <c r="U10" s="83" t="s">
        <v>729</v>
      </c>
      <c r="V10" s="87"/>
      <c r="W10" s="84" t="s">
        <v>732</v>
      </c>
      <c r="X10" s="56"/>
      <c r="Y10" s="84" t="s">
        <v>823</v>
      </c>
      <c r="Z10" s="56"/>
      <c r="AA10" s="84" t="s">
        <v>733</v>
      </c>
      <c r="AB10" s="56"/>
      <c r="AC10" s="84" t="s">
        <v>734</v>
      </c>
      <c r="AD10" s="56"/>
      <c r="AE10" s="83" t="s">
        <v>735</v>
      </c>
      <c r="AF10" s="4"/>
      <c r="AG10" s="83" t="s">
        <v>871</v>
      </c>
      <c r="AH10" s="4"/>
      <c r="AI10" s="84" t="s">
        <v>736</v>
      </c>
      <c r="AJ10" s="56"/>
      <c r="AK10" s="84" t="s">
        <v>669</v>
      </c>
      <c r="AL10" s="56"/>
      <c r="AM10" s="83" t="s">
        <v>954</v>
      </c>
      <c r="AN10" s="4"/>
      <c r="AO10" s="84" t="s">
        <v>903</v>
      </c>
      <c r="AP10" s="56"/>
      <c r="AQ10" s="84" t="s">
        <v>825</v>
      </c>
      <c r="AS10" s="25" t="s">
        <v>730</v>
      </c>
      <c r="AT10" s="25"/>
      <c r="AU10" s="25" t="s">
        <v>669</v>
      </c>
      <c r="AV10" s="25"/>
      <c r="AW10" s="25" t="s">
        <v>824</v>
      </c>
      <c r="AX10" s="25"/>
      <c r="AY10" s="25" t="s">
        <v>824</v>
      </c>
    </row>
    <row r="11" spans="1:51" s="1" customFormat="1" ht="12" x14ac:dyDescent="0.2">
      <c r="A11" s="42"/>
      <c r="B11" s="42"/>
      <c r="C11" s="42"/>
      <c r="D11" s="4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39">
        <f t="shared" ref="AS11" si="0">+M11-O11</f>
        <v>0</v>
      </c>
      <c r="AT11" s="4"/>
      <c r="AU11" s="39">
        <f t="shared" ref="AU11" si="1">+Q11+S11+U11+W11+Y11+AA11+AC11+AE11+AI11-AK11+AG11</f>
        <v>0</v>
      </c>
      <c r="AV11" s="4"/>
      <c r="AW11" s="39">
        <f t="shared" ref="AW11" si="2">+O11+AK11-AM11</f>
        <v>0</v>
      </c>
      <c r="AX11" s="4"/>
      <c r="AY11" s="39">
        <f t="shared" ref="AY11" si="3">+O11+AK11+AO11-AQ11</f>
        <v>0</v>
      </c>
    </row>
    <row r="12" spans="1:51" s="39" customFormat="1" ht="12" x14ac:dyDescent="0.2">
      <c r="A12" s="7" t="s">
        <v>330</v>
      </c>
      <c r="B12" s="7"/>
      <c r="C12" s="7" t="s">
        <v>329</v>
      </c>
      <c r="D12" s="7"/>
      <c r="E12" s="85">
        <v>928033</v>
      </c>
      <c r="F12" s="85"/>
      <c r="G12" s="85">
        <v>82436</v>
      </c>
      <c r="H12" s="85"/>
      <c r="I12" s="85">
        <v>236424</v>
      </c>
      <c r="J12" s="85"/>
      <c r="K12" s="85">
        <v>0</v>
      </c>
      <c r="L12" s="85"/>
      <c r="M12" s="85">
        <f t="shared" ref="M12:M42" si="4">SUM(G12:K12)-E12</f>
        <v>-609173</v>
      </c>
      <c r="N12" s="85"/>
      <c r="O12" s="85">
        <f t="shared" ref="O12:O42" si="5">-E12+G12+I12+K12</f>
        <v>-609173</v>
      </c>
      <c r="P12" s="85"/>
      <c r="Q12" s="85">
        <f>56730+8382+8599+29400</f>
        <v>103111</v>
      </c>
      <c r="R12" s="85"/>
      <c r="S12" s="85">
        <v>486631</v>
      </c>
      <c r="T12" s="85"/>
      <c r="U12" s="85">
        <v>88745</v>
      </c>
      <c r="V12" s="85"/>
      <c r="W12" s="85">
        <v>24311</v>
      </c>
      <c r="X12" s="85"/>
      <c r="Y12" s="85">
        <v>0</v>
      </c>
      <c r="Z12" s="85"/>
      <c r="AA12" s="85">
        <v>33457</v>
      </c>
      <c r="AB12" s="85"/>
      <c r="AC12" s="85">
        <v>0</v>
      </c>
      <c r="AD12" s="85"/>
      <c r="AE12" s="85">
        <v>75092</v>
      </c>
      <c r="AF12" s="85"/>
      <c r="AG12" s="85">
        <v>0</v>
      </c>
      <c r="AH12" s="85"/>
      <c r="AI12" s="85">
        <v>9000</v>
      </c>
      <c r="AJ12" s="85"/>
      <c r="AK12" s="85">
        <f t="shared" ref="AK12:AK42" si="6">Q12+S12+U12+W12+Y12+AA12+AC12+AE12+AI12+AG12</f>
        <v>820347</v>
      </c>
      <c r="AL12" s="85"/>
      <c r="AM12" s="85">
        <v>211174</v>
      </c>
      <c r="AN12" s="85"/>
      <c r="AO12" s="85">
        <v>1554946</v>
      </c>
      <c r="AP12" s="85"/>
      <c r="AQ12" s="85">
        <v>1766120</v>
      </c>
      <c r="AR12" s="7"/>
      <c r="AS12" s="39">
        <f t="shared" ref="AS12:AS42" si="7">+M12-O12</f>
        <v>0</v>
      </c>
      <c r="AU12" s="39">
        <f t="shared" ref="AU12:AU42" si="8">+Q12+S12+U12+W12+Y12+AA12+AC12+AE12+AI12-AK12+AG12</f>
        <v>0</v>
      </c>
      <c r="AW12" s="39">
        <f t="shared" ref="AW12:AW42" si="9">+O12+AK12-AM12</f>
        <v>0</v>
      </c>
      <c r="AY12" s="39">
        <f t="shared" ref="AY12:AY42" si="10">+O12+AK12+AO12-AQ12</f>
        <v>0</v>
      </c>
    </row>
    <row r="13" spans="1:51" s="39" customFormat="1" ht="12" x14ac:dyDescent="0.2">
      <c r="A13" s="39" t="s">
        <v>98</v>
      </c>
      <c r="C13" s="39" t="s">
        <v>388</v>
      </c>
      <c r="E13" s="35">
        <v>621185.93000000005</v>
      </c>
      <c r="F13" s="35"/>
      <c r="G13" s="35">
        <v>37792.800000000003</v>
      </c>
      <c r="H13" s="35"/>
      <c r="I13" s="35">
        <v>84859.78</v>
      </c>
      <c r="J13" s="35"/>
      <c r="K13" s="35">
        <v>20000</v>
      </c>
      <c r="L13" s="35"/>
      <c r="M13" s="35">
        <f t="shared" si="4"/>
        <v>-478533.35000000003</v>
      </c>
      <c r="N13" s="35"/>
      <c r="O13" s="35">
        <f t="shared" si="5"/>
        <v>-478533.35</v>
      </c>
      <c r="P13" s="35"/>
      <c r="Q13" s="35">
        <v>162160.66</v>
      </c>
      <c r="R13" s="35"/>
      <c r="S13" s="35">
        <v>175299.94</v>
      </c>
      <c r="T13" s="35"/>
      <c r="U13" s="35">
        <v>46168.74</v>
      </c>
      <c r="V13" s="35"/>
      <c r="W13" s="35">
        <v>15348.35</v>
      </c>
      <c r="X13" s="35"/>
      <c r="Y13" s="35">
        <v>0</v>
      </c>
      <c r="Z13" s="35"/>
      <c r="AA13" s="35">
        <v>12506.95</v>
      </c>
      <c r="AB13" s="35"/>
      <c r="AC13" s="35">
        <v>0</v>
      </c>
      <c r="AD13" s="35"/>
      <c r="AE13" s="35">
        <v>-102400</v>
      </c>
      <c r="AF13" s="35"/>
      <c r="AG13" s="35">
        <v>0</v>
      </c>
      <c r="AH13" s="35"/>
      <c r="AI13" s="35">
        <v>0</v>
      </c>
      <c r="AJ13" s="35"/>
      <c r="AK13" s="35">
        <f t="shared" si="6"/>
        <v>309084.63999999996</v>
      </c>
      <c r="AL13" s="35"/>
      <c r="AM13" s="35">
        <v>-169448.71</v>
      </c>
      <c r="AN13" s="35"/>
      <c r="AO13" s="35">
        <v>472543.05</v>
      </c>
      <c r="AP13" s="35"/>
      <c r="AQ13" s="35">
        <v>303094.34000000003</v>
      </c>
      <c r="AS13" s="39">
        <f t="shared" si="7"/>
        <v>0</v>
      </c>
      <c r="AU13" s="39">
        <f t="shared" si="8"/>
        <v>0</v>
      </c>
      <c r="AW13" s="39">
        <f t="shared" si="9"/>
        <v>0</v>
      </c>
      <c r="AY13" s="39">
        <f t="shared" si="10"/>
        <v>0</v>
      </c>
    </row>
    <row r="14" spans="1:51" s="7" customFormat="1" ht="12" x14ac:dyDescent="0.2">
      <c r="A14" s="7" t="s">
        <v>132</v>
      </c>
      <c r="C14" s="7" t="s">
        <v>775</v>
      </c>
      <c r="E14" s="35">
        <v>216254.91</v>
      </c>
      <c r="F14" s="35"/>
      <c r="G14" s="35">
        <v>154</v>
      </c>
      <c r="H14" s="35"/>
      <c r="I14" s="35">
        <v>30788.94</v>
      </c>
      <c r="J14" s="35"/>
      <c r="K14" s="35">
        <v>0</v>
      </c>
      <c r="L14" s="35"/>
      <c r="M14" s="35">
        <f t="shared" si="4"/>
        <v>-185311.97</v>
      </c>
      <c r="N14" s="35"/>
      <c r="O14" s="35">
        <f t="shared" si="5"/>
        <v>-185311.97</v>
      </c>
      <c r="P14" s="35"/>
      <c r="Q14" s="35">
        <v>46298.5</v>
      </c>
      <c r="R14" s="35"/>
      <c r="S14" s="35">
        <v>109209.01</v>
      </c>
      <c r="T14" s="35"/>
      <c r="U14" s="35">
        <v>60856.52</v>
      </c>
      <c r="V14" s="35"/>
      <c r="W14" s="35">
        <v>2206.73</v>
      </c>
      <c r="X14" s="35"/>
      <c r="Y14" s="35">
        <v>0</v>
      </c>
      <c r="Z14" s="35"/>
      <c r="AA14" s="35">
        <v>5970.69</v>
      </c>
      <c r="AB14" s="35"/>
      <c r="AC14" s="35">
        <v>0</v>
      </c>
      <c r="AD14" s="35"/>
      <c r="AE14" s="35">
        <v>-1585.83</v>
      </c>
      <c r="AF14" s="35"/>
      <c r="AG14" s="35">
        <v>0</v>
      </c>
      <c r="AH14" s="35"/>
      <c r="AI14" s="35">
        <v>0</v>
      </c>
      <c r="AJ14" s="35"/>
      <c r="AK14" s="35">
        <f t="shared" si="6"/>
        <v>222955.62000000002</v>
      </c>
      <c r="AL14" s="35"/>
      <c r="AM14" s="35">
        <v>37643.65</v>
      </c>
      <c r="AN14" s="35"/>
      <c r="AO14" s="35">
        <v>133448.62</v>
      </c>
      <c r="AP14" s="35"/>
      <c r="AQ14" s="35">
        <v>171092.27</v>
      </c>
      <c r="AS14" s="39">
        <f t="shared" si="7"/>
        <v>0</v>
      </c>
      <c r="AT14" s="39"/>
      <c r="AU14" s="39">
        <f t="shared" si="8"/>
        <v>0</v>
      </c>
      <c r="AV14" s="39"/>
      <c r="AW14" s="39">
        <f t="shared" si="9"/>
        <v>0</v>
      </c>
      <c r="AX14" s="39"/>
      <c r="AY14" s="39">
        <f t="shared" si="10"/>
        <v>0</v>
      </c>
    </row>
    <row r="15" spans="1:51" s="7" customFormat="1" ht="12" x14ac:dyDescent="0.2">
      <c r="A15" s="7" t="s">
        <v>143</v>
      </c>
      <c r="C15" s="7" t="s">
        <v>779</v>
      </c>
      <c r="E15" s="35">
        <v>298002.27</v>
      </c>
      <c r="F15" s="35"/>
      <c r="G15" s="35">
        <v>65772.039999999994</v>
      </c>
      <c r="H15" s="35"/>
      <c r="I15" s="35">
        <v>0</v>
      </c>
      <c r="J15" s="35"/>
      <c r="K15" s="35">
        <v>0</v>
      </c>
      <c r="L15" s="35"/>
      <c r="M15" s="35">
        <f t="shared" si="4"/>
        <v>-232230.23000000004</v>
      </c>
      <c r="N15" s="35"/>
      <c r="O15" s="35">
        <f t="shared" si="5"/>
        <v>-232230.23000000004</v>
      </c>
      <c r="P15" s="35"/>
      <c r="Q15" s="35">
        <v>227475.67</v>
      </c>
      <c r="R15" s="35"/>
      <c r="S15" s="35">
        <v>0</v>
      </c>
      <c r="T15" s="35"/>
      <c r="U15" s="35">
        <v>5380</v>
      </c>
      <c r="V15" s="35"/>
      <c r="W15" s="35">
        <v>55.86</v>
      </c>
      <c r="X15" s="35"/>
      <c r="Y15" s="35">
        <v>14858.53</v>
      </c>
      <c r="Z15" s="35"/>
      <c r="AA15" s="35">
        <v>62047.85</v>
      </c>
      <c r="AB15" s="35"/>
      <c r="AC15" s="35">
        <v>0</v>
      </c>
      <c r="AD15" s="35"/>
      <c r="AE15" s="35">
        <v>0</v>
      </c>
      <c r="AF15" s="35"/>
      <c r="AG15" s="35">
        <v>0</v>
      </c>
      <c r="AH15" s="35"/>
      <c r="AI15" s="35">
        <v>0</v>
      </c>
      <c r="AJ15" s="35"/>
      <c r="AK15" s="35">
        <f t="shared" si="6"/>
        <v>309817.90999999997</v>
      </c>
      <c r="AL15" s="35"/>
      <c r="AM15" s="35">
        <v>77587.679999999993</v>
      </c>
      <c r="AN15" s="35"/>
      <c r="AO15" s="35">
        <v>547937.92000000004</v>
      </c>
      <c r="AP15" s="35"/>
      <c r="AQ15" s="35">
        <v>625525.6</v>
      </c>
      <c r="AR15" s="39"/>
      <c r="AS15" s="39">
        <f t="shared" si="7"/>
        <v>0</v>
      </c>
      <c r="AT15" s="39"/>
      <c r="AU15" s="39">
        <f t="shared" si="8"/>
        <v>0</v>
      </c>
      <c r="AV15" s="39"/>
      <c r="AW15" s="39">
        <f t="shared" si="9"/>
        <v>0</v>
      </c>
      <c r="AX15" s="39"/>
      <c r="AY15" s="39">
        <f t="shared" si="10"/>
        <v>0</v>
      </c>
    </row>
    <row r="16" spans="1:51" s="7" customFormat="1" ht="12" x14ac:dyDescent="0.2">
      <c r="A16" s="7" t="s">
        <v>315</v>
      </c>
      <c r="C16" s="7" t="s">
        <v>316</v>
      </c>
      <c r="E16" s="35">
        <v>1828751</v>
      </c>
      <c r="F16" s="35"/>
      <c r="G16" s="35">
        <v>43279</v>
      </c>
      <c r="H16" s="35"/>
      <c r="I16" s="35">
        <v>1584</v>
      </c>
      <c r="J16" s="35"/>
      <c r="K16" s="35">
        <v>362591</v>
      </c>
      <c r="L16" s="35"/>
      <c r="M16" s="35">
        <f t="shared" si="4"/>
        <v>-1421297</v>
      </c>
      <c r="N16" s="35"/>
      <c r="O16" s="35">
        <f t="shared" si="5"/>
        <v>-1421297</v>
      </c>
      <c r="P16" s="35"/>
      <c r="Q16" s="35">
        <f>551521+118258</f>
        <v>669779</v>
      </c>
      <c r="R16" s="35"/>
      <c r="S16" s="35">
        <v>861353</v>
      </c>
      <c r="T16" s="35"/>
      <c r="U16" s="35">
        <v>0</v>
      </c>
      <c r="V16" s="35"/>
      <c r="W16" s="35">
        <v>6877</v>
      </c>
      <c r="X16" s="35"/>
      <c r="Y16" s="35">
        <v>16105</v>
      </c>
      <c r="Z16" s="35"/>
      <c r="AA16" s="35">
        <v>14183</v>
      </c>
      <c r="AB16" s="35"/>
      <c r="AC16" s="35">
        <v>0</v>
      </c>
      <c r="AD16" s="35"/>
      <c r="AE16" s="35">
        <v>0</v>
      </c>
      <c r="AF16" s="35"/>
      <c r="AG16" s="35">
        <v>0</v>
      </c>
      <c r="AH16" s="35"/>
      <c r="AI16" s="35">
        <v>1000</v>
      </c>
      <c r="AJ16" s="35"/>
      <c r="AK16" s="35">
        <f t="shared" si="6"/>
        <v>1569297</v>
      </c>
      <c r="AL16" s="35"/>
      <c r="AM16" s="35">
        <v>148000</v>
      </c>
      <c r="AN16" s="35"/>
      <c r="AO16" s="35">
        <v>1238853</v>
      </c>
      <c r="AP16" s="35"/>
      <c r="AQ16" s="35">
        <v>1386853</v>
      </c>
      <c r="AS16" s="39">
        <f t="shared" si="7"/>
        <v>0</v>
      </c>
      <c r="AT16" s="39"/>
      <c r="AU16" s="39">
        <f t="shared" si="8"/>
        <v>0</v>
      </c>
      <c r="AV16" s="39"/>
      <c r="AW16" s="39">
        <f t="shared" si="9"/>
        <v>0</v>
      </c>
      <c r="AX16" s="39"/>
      <c r="AY16" s="39">
        <f t="shared" si="10"/>
        <v>0</v>
      </c>
    </row>
    <row r="17" spans="1:51" s="7" customFormat="1" ht="12" x14ac:dyDescent="0.2">
      <c r="A17" s="7" t="s">
        <v>584</v>
      </c>
      <c r="C17" s="7" t="s">
        <v>585</v>
      </c>
      <c r="E17" s="35">
        <v>794092.79</v>
      </c>
      <c r="F17" s="35"/>
      <c r="G17" s="35">
        <v>163748.48000000001</v>
      </c>
      <c r="H17" s="35"/>
      <c r="I17" s="35">
        <v>52690.559999999998</v>
      </c>
      <c r="J17" s="35"/>
      <c r="K17" s="35">
        <v>70344.42</v>
      </c>
      <c r="L17" s="35"/>
      <c r="M17" s="35">
        <f t="shared" si="4"/>
        <v>-507309.33</v>
      </c>
      <c r="N17" s="35"/>
      <c r="O17" s="35">
        <f t="shared" si="5"/>
        <v>-507309.33</v>
      </c>
      <c r="P17" s="35"/>
      <c r="Q17" s="35">
        <v>236874.45</v>
      </c>
      <c r="R17" s="35"/>
      <c r="S17" s="35">
        <v>290488.7</v>
      </c>
      <c r="T17" s="35"/>
      <c r="U17" s="35">
        <v>0</v>
      </c>
      <c r="V17" s="35"/>
      <c r="W17" s="35">
        <v>0</v>
      </c>
      <c r="X17" s="35"/>
      <c r="Y17" s="35">
        <v>0</v>
      </c>
      <c r="Z17" s="35"/>
      <c r="AA17" s="35">
        <v>4232.8599999999997</v>
      </c>
      <c r="AB17" s="35"/>
      <c r="AC17" s="35">
        <v>0</v>
      </c>
      <c r="AD17" s="35"/>
      <c r="AE17" s="35">
        <v>16500</v>
      </c>
      <c r="AF17" s="35"/>
      <c r="AG17" s="35">
        <v>0</v>
      </c>
      <c r="AH17" s="35"/>
      <c r="AI17" s="35">
        <v>18050.18</v>
      </c>
      <c r="AJ17" s="35"/>
      <c r="AK17" s="35">
        <f t="shared" si="6"/>
        <v>566146.19000000006</v>
      </c>
      <c r="AL17" s="35"/>
      <c r="AM17" s="35">
        <v>58836.86</v>
      </c>
      <c r="AN17" s="35"/>
      <c r="AO17" s="35">
        <v>401049.57</v>
      </c>
      <c r="AP17" s="35"/>
      <c r="AQ17" s="35">
        <v>459886.43</v>
      </c>
      <c r="AS17" s="39">
        <f t="shared" si="7"/>
        <v>0</v>
      </c>
      <c r="AT17" s="39"/>
      <c r="AU17" s="39">
        <f t="shared" si="8"/>
        <v>0</v>
      </c>
      <c r="AV17" s="39"/>
      <c r="AW17" s="39">
        <f t="shared" si="9"/>
        <v>0</v>
      </c>
      <c r="AX17" s="39"/>
      <c r="AY17" s="39">
        <f t="shared" si="10"/>
        <v>0</v>
      </c>
    </row>
    <row r="18" spans="1:51" s="7" customFormat="1" ht="12" x14ac:dyDescent="0.2">
      <c r="A18" s="7" t="s">
        <v>318</v>
      </c>
      <c r="C18" s="7" t="s">
        <v>316</v>
      </c>
      <c r="E18" s="35">
        <v>5292235</v>
      </c>
      <c r="F18" s="35"/>
      <c r="G18" s="35">
        <v>255556</v>
      </c>
      <c r="H18" s="35"/>
      <c r="I18" s="35">
        <v>129503</v>
      </c>
      <c r="J18" s="35"/>
      <c r="K18" s="35">
        <v>79615</v>
      </c>
      <c r="L18" s="35"/>
      <c r="M18" s="35">
        <f t="shared" si="4"/>
        <v>-4827561</v>
      </c>
      <c r="N18" s="35"/>
      <c r="O18" s="35">
        <f t="shared" si="5"/>
        <v>-4827561</v>
      </c>
      <c r="P18" s="35"/>
      <c r="Q18" s="35">
        <f>319291+23358+48225</f>
        <v>390874</v>
      </c>
      <c r="R18" s="35"/>
      <c r="S18" s="35">
        <v>4106159</v>
      </c>
      <c r="T18" s="35"/>
      <c r="U18" s="35">
        <v>92922</v>
      </c>
      <c r="V18" s="35"/>
      <c r="W18" s="35">
        <v>1164</v>
      </c>
      <c r="X18" s="35"/>
      <c r="Y18" s="35">
        <v>5084</v>
      </c>
      <c r="Z18" s="35"/>
      <c r="AA18" s="35">
        <f>31864+3425</f>
        <v>35289</v>
      </c>
      <c r="AB18" s="35"/>
      <c r="AC18" s="35">
        <v>0</v>
      </c>
      <c r="AD18" s="35"/>
      <c r="AE18" s="35">
        <v>0</v>
      </c>
      <c r="AF18" s="35"/>
      <c r="AG18" s="35">
        <v>0</v>
      </c>
      <c r="AH18" s="35"/>
      <c r="AI18" s="35">
        <v>0</v>
      </c>
      <c r="AJ18" s="35"/>
      <c r="AK18" s="35">
        <f t="shared" si="6"/>
        <v>4631492</v>
      </c>
      <c r="AL18" s="35"/>
      <c r="AM18" s="35">
        <v>-196069</v>
      </c>
      <c r="AN18" s="35"/>
      <c r="AO18" s="35">
        <v>4168596</v>
      </c>
      <c r="AP18" s="35"/>
      <c r="AQ18" s="35">
        <v>3972527</v>
      </c>
      <c r="AS18" s="39">
        <f t="shared" si="7"/>
        <v>0</v>
      </c>
      <c r="AT18" s="39"/>
      <c r="AU18" s="39">
        <f t="shared" si="8"/>
        <v>0</v>
      </c>
      <c r="AV18" s="39"/>
      <c r="AW18" s="39">
        <f t="shared" si="9"/>
        <v>0</v>
      </c>
      <c r="AX18" s="39"/>
      <c r="AY18" s="39">
        <f t="shared" si="10"/>
        <v>0</v>
      </c>
    </row>
    <row r="19" spans="1:51" s="7" customFormat="1" ht="12" x14ac:dyDescent="0.2">
      <c r="A19" s="7" t="s">
        <v>130</v>
      </c>
      <c r="C19" s="7" t="s">
        <v>774</v>
      </c>
      <c r="E19" s="35">
        <v>1024939.47</v>
      </c>
      <c r="F19" s="35"/>
      <c r="G19" s="35">
        <v>112824.41</v>
      </c>
      <c r="H19" s="35"/>
      <c r="I19" s="35">
        <v>196401.31</v>
      </c>
      <c r="J19" s="35"/>
      <c r="K19" s="35">
        <v>17670</v>
      </c>
      <c r="L19" s="35"/>
      <c r="M19" s="35">
        <f t="shared" si="4"/>
        <v>-698043.75</v>
      </c>
      <c r="N19" s="35"/>
      <c r="O19" s="35">
        <f t="shared" si="5"/>
        <v>-698043.75</v>
      </c>
      <c r="P19" s="35"/>
      <c r="Q19" s="35">
        <v>491063.28</v>
      </c>
      <c r="R19" s="35"/>
      <c r="S19" s="35">
        <v>0</v>
      </c>
      <c r="T19" s="35"/>
      <c r="U19" s="35">
        <v>37575.24</v>
      </c>
      <c r="V19" s="35"/>
      <c r="W19" s="35">
        <v>1538.18</v>
      </c>
      <c r="X19" s="35"/>
      <c r="Y19" s="35">
        <v>27668.03</v>
      </c>
      <c r="Z19" s="35"/>
      <c r="AA19" s="35">
        <v>46459.66</v>
      </c>
      <c r="AB19" s="35"/>
      <c r="AC19" s="35">
        <v>0</v>
      </c>
      <c r="AD19" s="35"/>
      <c r="AE19" s="35">
        <v>0</v>
      </c>
      <c r="AF19" s="35"/>
      <c r="AG19" s="35">
        <v>0</v>
      </c>
      <c r="AH19" s="35"/>
      <c r="AI19" s="35">
        <v>865</v>
      </c>
      <c r="AJ19" s="35"/>
      <c r="AK19" s="35">
        <f t="shared" si="6"/>
        <v>605169.39000000013</v>
      </c>
      <c r="AL19" s="35"/>
      <c r="AM19" s="35">
        <v>-92874.36</v>
      </c>
      <c r="AN19" s="35"/>
      <c r="AO19" s="35">
        <v>723657.69</v>
      </c>
      <c r="AP19" s="35"/>
      <c r="AQ19" s="35">
        <v>630783.32999999996</v>
      </c>
      <c r="AS19" s="39">
        <f t="shared" si="7"/>
        <v>0</v>
      </c>
      <c r="AT19" s="39"/>
      <c r="AU19" s="39">
        <f t="shared" si="8"/>
        <v>0</v>
      </c>
      <c r="AV19" s="39"/>
      <c r="AW19" s="39">
        <f t="shared" si="9"/>
        <v>1.3096723705530167E-10</v>
      </c>
      <c r="AX19" s="39"/>
      <c r="AY19" s="39">
        <f t="shared" si="10"/>
        <v>0</v>
      </c>
    </row>
    <row r="20" spans="1:51" s="7" customFormat="1" ht="12" x14ac:dyDescent="0.2">
      <c r="A20" s="7" t="s">
        <v>241</v>
      </c>
      <c r="C20" s="7" t="s">
        <v>809</v>
      </c>
      <c r="E20" s="35">
        <v>11411.28</v>
      </c>
      <c r="F20" s="35"/>
      <c r="G20" s="35">
        <v>0</v>
      </c>
      <c r="H20" s="35"/>
      <c r="I20" s="35">
        <v>2000.97</v>
      </c>
      <c r="J20" s="35"/>
      <c r="K20" s="35">
        <v>0</v>
      </c>
      <c r="L20" s="35"/>
      <c r="M20" s="35">
        <f t="shared" si="4"/>
        <v>-9410.3100000000013</v>
      </c>
      <c r="N20" s="35"/>
      <c r="O20" s="35">
        <f t="shared" si="5"/>
        <v>-9410.3100000000013</v>
      </c>
      <c r="P20" s="35"/>
      <c r="Q20" s="35">
        <v>7946.6</v>
      </c>
      <c r="R20" s="35"/>
      <c r="S20" s="35">
        <v>0</v>
      </c>
      <c r="T20" s="35"/>
      <c r="U20" s="35">
        <v>5350</v>
      </c>
      <c r="V20" s="35"/>
      <c r="W20" s="35">
        <v>0</v>
      </c>
      <c r="X20" s="35"/>
      <c r="Y20" s="35">
        <v>5482.92</v>
      </c>
      <c r="Z20" s="35"/>
      <c r="AA20" s="35">
        <v>200</v>
      </c>
      <c r="AB20" s="35"/>
      <c r="AC20" s="35">
        <v>0</v>
      </c>
      <c r="AD20" s="35"/>
      <c r="AE20" s="35">
        <v>0</v>
      </c>
      <c r="AF20" s="35"/>
      <c r="AG20" s="35">
        <v>0</v>
      </c>
      <c r="AH20" s="35"/>
      <c r="AI20" s="35">
        <v>0</v>
      </c>
      <c r="AJ20" s="35"/>
      <c r="AK20" s="35">
        <f t="shared" si="6"/>
        <v>18979.52</v>
      </c>
      <c r="AL20" s="35"/>
      <c r="AM20" s="35">
        <v>9569.2099999999991</v>
      </c>
      <c r="AN20" s="35"/>
      <c r="AO20" s="35">
        <v>55078.96</v>
      </c>
      <c r="AP20" s="35"/>
      <c r="AQ20" s="35">
        <v>64648.17</v>
      </c>
      <c r="AS20" s="39">
        <f t="shared" si="7"/>
        <v>0</v>
      </c>
      <c r="AT20" s="39"/>
      <c r="AU20" s="39">
        <f t="shared" si="8"/>
        <v>0</v>
      </c>
      <c r="AV20" s="39"/>
      <c r="AW20" s="39">
        <f t="shared" si="9"/>
        <v>0</v>
      </c>
      <c r="AX20" s="39"/>
      <c r="AY20" s="39">
        <f t="shared" si="10"/>
        <v>0</v>
      </c>
    </row>
    <row r="21" spans="1:51" s="7" customFormat="1" ht="12" x14ac:dyDescent="0.2">
      <c r="A21" s="7" t="s">
        <v>608</v>
      </c>
      <c r="C21" s="7" t="s">
        <v>609</v>
      </c>
      <c r="E21" s="35">
        <v>1589158</v>
      </c>
      <c r="F21" s="35"/>
      <c r="G21" s="35">
        <v>98534</v>
      </c>
      <c r="H21" s="35"/>
      <c r="I21" s="35">
        <v>208731</v>
      </c>
      <c r="J21" s="35"/>
      <c r="K21" s="35">
        <v>0</v>
      </c>
      <c r="L21" s="35"/>
      <c r="M21" s="35">
        <f t="shared" si="4"/>
        <v>-1281893</v>
      </c>
      <c r="N21" s="35"/>
      <c r="O21" s="35">
        <f t="shared" si="5"/>
        <v>-1281893</v>
      </c>
      <c r="P21" s="35"/>
      <c r="Q21" s="35">
        <f>78357+422433</f>
        <v>500790</v>
      </c>
      <c r="R21" s="35"/>
      <c r="S21" s="35">
        <v>624387</v>
      </c>
      <c r="T21" s="35"/>
      <c r="U21" s="35">
        <v>90732</v>
      </c>
      <c r="V21" s="35"/>
      <c r="W21" s="35">
        <v>51688</v>
      </c>
      <c r="X21" s="35"/>
      <c r="Y21" s="35">
        <v>0</v>
      </c>
      <c r="Z21" s="35"/>
      <c r="AA21" s="35">
        <f>59598+15794</f>
        <v>75392</v>
      </c>
      <c r="AB21" s="35"/>
      <c r="AC21" s="35">
        <v>0</v>
      </c>
      <c r="AD21" s="35"/>
      <c r="AE21" s="35">
        <v>0</v>
      </c>
      <c r="AF21" s="35"/>
      <c r="AG21" s="35">
        <v>0</v>
      </c>
      <c r="AH21" s="35"/>
      <c r="AI21" s="35">
        <v>0</v>
      </c>
      <c r="AJ21" s="35"/>
      <c r="AK21" s="35">
        <f t="shared" si="6"/>
        <v>1342989</v>
      </c>
      <c r="AL21" s="35"/>
      <c r="AM21" s="35">
        <v>61096</v>
      </c>
      <c r="AN21" s="35"/>
      <c r="AO21" s="35">
        <v>1359539</v>
      </c>
      <c r="AP21" s="35"/>
      <c r="AQ21" s="35">
        <v>1420635</v>
      </c>
      <c r="AS21" s="39">
        <f t="shared" si="7"/>
        <v>0</v>
      </c>
      <c r="AT21" s="39"/>
      <c r="AU21" s="39">
        <f t="shared" si="8"/>
        <v>0</v>
      </c>
      <c r="AV21" s="39"/>
      <c r="AW21" s="39">
        <f t="shared" si="9"/>
        <v>0</v>
      </c>
      <c r="AX21" s="39"/>
      <c r="AY21" s="39">
        <f t="shared" si="10"/>
        <v>0</v>
      </c>
    </row>
    <row r="22" spans="1:51" s="7" customFormat="1" ht="12" x14ac:dyDescent="0.2">
      <c r="A22" s="7" t="s">
        <v>942</v>
      </c>
      <c r="C22" s="7" t="s">
        <v>581</v>
      </c>
      <c r="E22" s="35">
        <v>1804667</v>
      </c>
      <c r="F22" s="35"/>
      <c r="G22" s="35">
        <v>235874</v>
      </c>
      <c r="H22" s="35"/>
      <c r="I22" s="35">
        <v>520707</v>
      </c>
      <c r="J22" s="35"/>
      <c r="K22" s="35">
        <v>899509</v>
      </c>
      <c r="L22" s="35"/>
      <c r="M22" s="35">
        <f t="shared" si="4"/>
        <v>-148577</v>
      </c>
      <c r="N22" s="35"/>
      <c r="O22" s="35">
        <f t="shared" si="5"/>
        <v>-148577</v>
      </c>
      <c r="P22" s="35"/>
      <c r="Q22" s="35">
        <f>64611+131740+115456</f>
        <v>311807</v>
      </c>
      <c r="R22" s="35"/>
      <c r="S22" s="35">
        <f>608803+305665</f>
        <v>914468</v>
      </c>
      <c r="T22" s="35"/>
      <c r="U22" s="35">
        <v>105172</v>
      </c>
      <c r="V22" s="35"/>
      <c r="W22" s="35">
        <v>6334</v>
      </c>
      <c r="X22" s="35"/>
      <c r="Y22" s="35">
        <v>0</v>
      </c>
      <c r="Z22" s="35"/>
      <c r="AA22" s="35">
        <v>7619</v>
      </c>
      <c r="AB22" s="35"/>
      <c r="AC22" s="35">
        <v>0</v>
      </c>
      <c r="AD22" s="35"/>
      <c r="AE22" s="35">
        <v>0</v>
      </c>
      <c r="AF22" s="35"/>
      <c r="AG22" s="35">
        <v>0</v>
      </c>
      <c r="AH22" s="35"/>
      <c r="AI22" s="35">
        <v>0</v>
      </c>
      <c r="AJ22" s="35"/>
      <c r="AK22" s="35">
        <f t="shared" si="6"/>
        <v>1345400</v>
      </c>
      <c r="AL22" s="35"/>
      <c r="AM22" s="35">
        <v>1196823</v>
      </c>
      <c r="AN22" s="35"/>
      <c r="AO22" s="35">
        <v>3832619</v>
      </c>
      <c r="AP22" s="35"/>
      <c r="AQ22" s="35">
        <v>5029442</v>
      </c>
      <c r="AS22" s="39">
        <f t="shared" si="7"/>
        <v>0</v>
      </c>
      <c r="AT22" s="39"/>
      <c r="AU22" s="39">
        <f t="shared" si="8"/>
        <v>0</v>
      </c>
      <c r="AV22" s="39"/>
      <c r="AW22" s="39">
        <f t="shared" si="9"/>
        <v>0</v>
      </c>
      <c r="AX22" s="39"/>
      <c r="AY22" s="39">
        <f t="shared" si="10"/>
        <v>0</v>
      </c>
    </row>
    <row r="23" spans="1:51" s="7" customFormat="1" ht="12" x14ac:dyDescent="0.2">
      <c r="A23" s="7" t="s">
        <v>121</v>
      </c>
      <c r="C23" s="7" t="s">
        <v>771</v>
      </c>
      <c r="E23" s="35">
        <v>615062.77</v>
      </c>
      <c r="F23" s="35"/>
      <c r="G23" s="35">
        <v>7967.9</v>
      </c>
      <c r="H23" s="35"/>
      <c r="I23" s="35">
        <v>65475.63</v>
      </c>
      <c r="J23" s="35"/>
      <c r="K23" s="35">
        <v>0</v>
      </c>
      <c r="L23" s="35"/>
      <c r="M23" s="35">
        <f t="shared" si="4"/>
        <v>-541619.24</v>
      </c>
      <c r="N23" s="35"/>
      <c r="O23" s="35">
        <f t="shared" si="5"/>
        <v>-541619.24</v>
      </c>
      <c r="P23" s="35"/>
      <c r="Q23" s="35">
        <v>180381.74000000002</v>
      </c>
      <c r="R23" s="35"/>
      <c r="S23" s="35">
        <v>336832.83</v>
      </c>
      <c r="T23" s="35"/>
      <c r="U23" s="35">
        <v>22833.17</v>
      </c>
      <c r="V23" s="35"/>
      <c r="W23" s="35">
        <v>1076.94</v>
      </c>
      <c r="X23" s="35"/>
      <c r="Y23" s="35">
        <v>11458.43</v>
      </c>
      <c r="Z23" s="35"/>
      <c r="AA23" s="35">
        <v>11523.13</v>
      </c>
      <c r="AB23" s="35"/>
      <c r="AC23" s="35">
        <v>0</v>
      </c>
      <c r="AD23" s="35"/>
      <c r="AE23" s="35">
        <v>-12646.47</v>
      </c>
      <c r="AF23" s="35"/>
      <c r="AG23" s="35">
        <v>0</v>
      </c>
      <c r="AH23" s="35"/>
      <c r="AI23" s="35">
        <v>0</v>
      </c>
      <c r="AJ23" s="35"/>
      <c r="AK23" s="35">
        <f t="shared" si="6"/>
        <v>551459.77000000014</v>
      </c>
      <c r="AL23" s="35"/>
      <c r="AM23" s="35">
        <v>9840.5300000000007</v>
      </c>
      <c r="AN23" s="35"/>
      <c r="AO23" s="35">
        <v>437086.98</v>
      </c>
      <c r="AP23" s="35"/>
      <c r="AQ23" s="35">
        <v>446927.51</v>
      </c>
      <c r="AS23" s="39">
        <f t="shared" si="7"/>
        <v>0</v>
      </c>
      <c r="AT23" s="39"/>
      <c r="AU23" s="39">
        <f t="shared" si="8"/>
        <v>0</v>
      </c>
      <c r="AV23" s="39"/>
      <c r="AW23" s="39">
        <f t="shared" si="9"/>
        <v>1.4370016288012266E-10</v>
      </c>
      <c r="AX23" s="39"/>
      <c r="AY23" s="39">
        <f t="shared" si="10"/>
        <v>0</v>
      </c>
    </row>
    <row r="24" spans="1:51" s="7" customFormat="1" ht="12" x14ac:dyDescent="0.2">
      <c r="A24" s="7" t="s">
        <v>826</v>
      </c>
      <c r="C24" s="7" t="s">
        <v>760</v>
      </c>
      <c r="E24" s="35">
        <v>61085.19</v>
      </c>
      <c r="F24" s="35"/>
      <c r="G24" s="35">
        <v>6517.3</v>
      </c>
      <c r="H24" s="35"/>
      <c r="I24" s="35">
        <v>3927.52</v>
      </c>
      <c r="J24" s="35"/>
      <c r="K24" s="35">
        <v>0</v>
      </c>
      <c r="L24" s="35"/>
      <c r="M24" s="35">
        <f t="shared" si="4"/>
        <v>-50640.37</v>
      </c>
      <c r="N24" s="35"/>
      <c r="O24" s="35">
        <f t="shared" si="5"/>
        <v>-50640.37</v>
      </c>
      <c r="P24" s="35"/>
      <c r="Q24" s="35">
        <v>18.86</v>
      </c>
      <c r="R24" s="35"/>
      <c r="S24" s="35">
        <v>0</v>
      </c>
      <c r="T24" s="35"/>
      <c r="U24" s="35">
        <v>47139.6</v>
      </c>
      <c r="V24" s="35"/>
      <c r="W24" s="35">
        <v>0</v>
      </c>
      <c r="X24" s="35"/>
      <c r="Y24" s="35">
        <v>0</v>
      </c>
      <c r="Z24" s="35"/>
      <c r="AA24" s="35">
        <v>10957.02</v>
      </c>
      <c r="AB24" s="35"/>
      <c r="AC24" s="35">
        <v>0</v>
      </c>
      <c r="AD24" s="35"/>
      <c r="AE24" s="35">
        <v>-2074</v>
      </c>
      <c r="AF24" s="35"/>
      <c r="AG24" s="35">
        <v>0</v>
      </c>
      <c r="AH24" s="35"/>
      <c r="AI24" s="35">
        <v>0</v>
      </c>
      <c r="AJ24" s="35"/>
      <c r="AK24" s="35">
        <f t="shared" si="6"/>
        <v>56041.479999999996</v>
      </c>
      <c r="AL24" s="35"/>
      <c r="AM24" s="35">
        <v>5401.11</v>
      </c>
      <c r="AN24" s="35"/>
      <c r="AO24" s="35">
        <v>19000.86</v>
      </c>
      <c r="AP24" s="35"/>
      <c r="AQ24" s="35">
        <v>24401.97</v>
      </c>
      <c r="AS24" s="39">
        <f t="shared" si="7"/>
        <v>0</v>
      </c>
      <c r="AT24" s="39"/>
      <c r="AU24" s="39">
        <f t="shared" si="8"/>
        <v>0</v>
      </c>
      <c r="AV24" s="39"/>
      <c r="AW24" s="39">
        <f t="shared" si="9"/>
        <v>0</v>
      </c>
      <c r="AX24" s="39"/>
      <c r="AY24" s="39">
        <f t="shared" si="10"/>
        <v>0</v>
      </c>
    </row>
    <row r="25" spans="1:51" s="7" customFormat="1" ht="12" x14ac:dyDescent="0.2">
      <c r="A25" s="7" t="s">
        <v>79</v>
      </c>
      <c r="C25" s="7" t="s">
        <v>760</v>
      </c>
      <c r="E25" s="35">
        <v>78520.320000000007</v>
      </c>
      <c r="F25" s="35"/>
      <c r="G25" s="35">
        <v>32</v>
      </c>
      <c r="H25" s="35"/>
      <c r="I25" s="35">
        <v>12850.59</v>
      </c>
      <c r="J25" s="35"/>
      <c r="K25" s="35">
        <v>9000</v>
      </c>
      <c r="L25" s="35"/>
      <c r="M25" s="35">
        <f t="shared" si="4"/>
        <v>-56637.73000000001</v>
      </c>
      <c r="N25" s="35"/>
      <c r="O25" s="35">
        <f t="shared" si="5"/>
        <v>-56637.73000000001</v>
      </c>
      <c r="P25" s="35"/>
      <c r="Q25" s="35">
        <v>827.55000000000007</v>
      </c>
      <c r="R25" s="35"/>
      <c r="S25" s="35">
        <v>0</v>
      </c>
      <c r="T25" s="35"/>
      <c r="U25" s="35">
        <v>48158.42</v>
      </c>
      <c r="V25" s="35"/>
      <c r="W25" s="35">
        <v>0</v>
      </c>
      <c r="X25" s="35"/>
      <c r="Y25" s="35">
        <v>802.95</v>
      </c>
      <c r="Z25" s="35"/>
      <c r="AA25" s="35">
        <v>1962.12</v>
      </c>
      <c r="AB25" s="35"/>
      <c r="AC25" s="35">
        <v>0</v>
      </c>
      <c r="AD25" s="35"/>
      <c r="AE25" s="35">
        <v>0</v>
      </c>
      <c r="AF25" s="35"/>
      <c r="AG25" s="35">
        <v>0</v>
      </c>
      <c r="AH25" s="35"/>
      <c r="AI25" s="35">
        <v>0</v>
      </c>
      <c r="AJ25" s="35"/>
      <c r="AK25" s="35">
        <f t="shared" si="6"/>
        <v>51751.040000000001</v>
      </c>
      <c r="AL25" s="35"/>
      <c r="AM25" s="35">
        <v>-4886.6899999999996</v>
      </c>
      <c r="AN25" s="35"/>
      <c r="AO25" s="35">
        <v>115311.15</v>
      </c>
      <c r="AP25" s="35"/>
      <c r="AQ25" s="35">
        <v>110424.46</v>
      </c>
      <c r="AS25" s="39">
        <f t="shared" si="7"/>
        <v>0</v>
      </c>
      <c r="AT25" s="39"/>
      <c r="AU25" s="39">
        <f t="shared" si="8"/>
        <v>0</v>
      </c>
      <c r="AV25" s="39"/>
      <c r="AW25" s="39">
        <f t="shared" si="9"/>
        <v>-1.0004441719502211E-11</v>
      </c>
      <c r="AX25" s="39"/>
      <c r="AY25" s="39">
        <f t="shared" si="10"/>
        <v>0</v>
      </c>
    </row>
    <row r="26" spans="1:51" s="7" customFormat="1" ht="12" x14ac:dyDescent="0.2">
      <c r="A26" s="7" t="s">
        <v>125</v>
      </c>
      <c r="C26" s="7" t="s">
        <v>773</v>
      </c>
      <c r="E26" s="35">
        <v>860735.56</v>
      </c>
      <c r="F26" s="35"/>
      <c r="G26" s="35">
        <v>285217.55</v>
      </c>
      <c r="H26" s="35"/>
      <c r="I26" s="35">
        <v>109853.28</v>
      </c>
      <c r="J26" s="35"/>
      <c r="K26" s="35">
        <v>60054.77</v>
      </c>
      <c r="L26" s="35"/>
      <c r="M26" s="35">
        <f t="shared" si="4"/>
        <v>-405609.96000000008</v>
      </c>
      <c r="N26" s="35"/>
      <c r="O26" s="35">
        <f t="shared" si="5"/>
        <v>-405609.95999999996</v>
      </c>
      <c r="P26" s="35"/>
      <c r="Q26" s="35">
        <v>48418.94</v>
      </c>
      <c r="R26" s="35"/>
      <c r="S26" s="35">
        <v>256836.12</v>
      </c>
      <c r="T26" s="35"/>
      <c r="U26" s="35">
        <v>66473.88</v>
      </c>
      <c r="V26" s="35"/>
      <c r="W26" s="35">
        <v>0</v>
      </c>
      <c r="X26" s="35"/>
      <c r="Y26" s="35">
        <v>15425.48</v>
      </c>
      <c r="Z26" s="35"/>
      <c r="AA26" s="35">
        <v>28337.98</v>
      </c>
      <c r="AB26" s="35"/>
      <c r="AC26" s="35">
        <v>0</v>
      </c>
      <c r="AD26" s="35"/>
      <c r="AE26" s="35">
        <v>-42174.19</v>
      </c>
      <c r="AF26" s="35"/>
      <c r="AG26" s="35">
        <v>0</v>
      </c>
      <c r="AH26" s="35"/>
      <c r="AI26" s="35">
        <v>0</v>
      </c>
      <c r="AJ26" s="35"/>
      <c r="AK26" s="35">
        <f t="shared" si="6"/>
        <v>373318.20999999996</v>
      </c>
      <c r="AL26" s="35"/>
      <c r="AM26" s="35">
        <v>-32291.75</v>
      </c>
      <c r="AN26" s="35"/>
      <c r="AO26" s="35">
        <v>124019.94</v>
      </c>
      <c r="AP26" s="35"/>
      <c r="AQ26" s="35">
        <v>91728.19</v>
      </c>
      <c r="AS26" s="39">
        <f t="shared" si="7"/>
        <v>0</v>
      </c>
      <c r="AT26" s="39"/>
      <c r="AU26" s="39">
        <f t="shared" si="8"/>
        <v>0</v>
      </c>
      <c r="AV26" s="39"/>
      <c r="AW26" s="39">
        <f t="shared" si="9"/>
        <v>0</v>
      </c>
      <c r="AX26" s="39"/>
      <c r="AY26" s="39">
        <f t="shared" si="10"/>
        <v>0</v>
      </c>
    </row>
    <row r="27" spans="1:51" s="7" customFormat="1" ht="12" x14ac:dyDescent="0.2">
      <c r="A27" s="7" t="s">
        <v>884</v>
      </c>
      <c r="C27" s="7" t="s">
        <v>783</v>
      </c>
      <c r="E27" s="35">
        <v>3158985</v>
      </c>
      <c r="F27" s="35"/>
      <c r="G27" s="35">
        <v>321105</v>
      </c>
      <c r="H27" s="35"/>
      <c r="I27" s="35">
        <v>0</v>
      </c>
      <c r="J27" s="35"/>
      <c r="K27" s="35">
        <v>5000</v>
      </c>
      <c r="L27" s="35"/>
      <c r="M27" s="35">
        <f t="shared" si="4"/>
        <v>-2832880</v>
      </c>
      <c r="N27" s="35"/>
      <c r="O27" s="35">
        <f t="shared" si="5"/>
        <v>-2832880</v>
      </c>
      <c r="P27" s="35"/>
      <c r="Q27" s="35">
        <v>1821989</v>
      </c>
      <c r="R27" s="35"/>
      <c r="S27" s="35">
        <v>0</v>
      </c>
      <c r="T27" s="35"/>
      <c r="U27" s="35">
        <v>385128</v>
      </c>
      <c r="V27" s="35"/>
      <c r="W27" s="35">
        <v>476</v>
      </c>
      <c r="X27" s="35"/>
      <c r="Y27" s="35">
        <v>0</v>
      </c>
      <c r="Z27" s="35"/>
      <c r="AA27" s="35">
        <f>80424+18329+155571+4810+19000+50+22853</f>
        <v>301037</v>
      </c>
      <c r="AB27" s="35"/>
      <c r="AC27" s="35">
        <v>0</v>
      </c>
      <c r="AD27" s="35"/>
      <c r="AE27" s="35">
        <f>356753-22853-19000-50</f>
        <v>314850</v>
      </c>
      <c r="AF27" s="35"/>
      <c r="AG27" s="35">
        <v>0</v>
      </c>
      <c r="AH27" s="35"/>
      <c r="AI27" s="35">
        <v>0</v>
      </c>
      <c r="AJ27" s="35"/>
      <c r="AK27" s="35">
        <f t="shared" si="6"/>
        <v>2823480</v>
      </c>
      <c r="AL27" s="35"/>
      <c r="AM27" s="35">
        <v>-9400</v>
      </c>
      <c r="AN27" s="35"/>
      <c r="AO27" s="35">
        <f>AQ27-AM27</f>
        <v>775825</v>
      </c>
      <c r="AP27" s="35"/>
      <c r="AQ27" s="35">
        <v>766425</v>
      </c>
      <c r="AS27" s="39">
        <f t="shared" si="7"/>
        <v>0</v>
      </c>
      <c r="AT27" s="39"/>
      <c r="AU27" s="39">
        <f t="shared" si="8"/>
        <v>0</v>
      </c>
      <c r="AV27" s="39"/>
      <c r="AW27" s="39">
        <f t="shared" si="9"/>
        <v>0</v>
      </c>
      <c r="AX27" s="39"/>
      <c r="AY27" s="39">
        <f t="shared" si="10"/>
        <v>0</v>
      </c>
    </row>
    <row r="28" spans="1:51" s="7" customFormat="1" ht="12" x14ac:dyDescent="0.2">
      <c r="A28" s="7" t="s">
        <v>952</v>
      </c>
      <c r="C28" s="7" t="s">
        <v>312</v>
      </c>
      <c r="E28" s="35">
        <v>2678642</v>
      </c>
      <c r="F28" s="35"/>
      <c r="G28" s="35">
        <v>321064</v>
      </c>
      <c r="H28" s="35"/>
      <c r="I28" s="35">
        <v>400839</v>
      </c>
      <c r="J28" s="35"/>
      <c r="K28" s="35">
        <v>137121</v>
      </c>
      <c r="L28" s="35"/>
      <c r="M28" s="35">
        <f t="shared" si="4"/>
        <v>-1819618</v>
      </c>
      <c r="N28" s="35"/>
      <c r="O28" s="35">
        <f t="shared" si="5"/>
        <v>-1819618</v>
      </c>
      <c r="P28" s="35"/>
      <c r="Q28" s="35">
        <f>156543+13356+13356</f>
        <v>183255</v>
      </c>
      <c r="R28" s="35"/>
      <c r="S28" s="35">
        <f>867569+94304+186181</f>
        <v>1148054</v>
      </c>
      <c r="T28" s="35"/>
      <c r="U28" s="35">
        <v>179984</v>
      </c>
      <c r="V28" s="35"/>
      <c r="W28" s="35">
        <v>15180</v>
      </c>
      <c r="X28" s="35"/>
      <c r="Y28" s="35">
        <v>0</v>
      </c>
      <c r="Z28" s="35"/>
      <c r="AA28" s="35">
        <v>105089</v>
      </c>
      <c r="AB28" s="35"/>
      <c r="AC28" s="35">
        <v>0</v>
      </c>
      <c r="AD28" s="35"/>
      <c r="AE28" s="35">
        <v>0</v>
      </c>
      <c r="AF28" s="35"/>
      <c r="AG28" s="35">
        <v>0</v>
      </c>
      <c r="AH28" s="35"/>
      <c r="AI28" s="35">
        <v>0</v>
      </c>
      <c r="AJ28" s="35"/>
      <c r="AK28" s="35">
        <f t="shared" si="6"/>
        <v>1631562</v>
      </c>
      <c r="AL28" s="35"/>
      <c r="AM28" s="35">
        <v>-188056</v>
      </c>
      <c r="AN28" s="35"/>
      <c r="AO28" s="35">
        <v>546112</v>
      </c>
      <c r="AP28" s="35"/>
      <c r="AQ28" s="35">
        <v>358056</v>
      </c>
      <c r="AS28" s="39">
        <f t="shared" si="7"/>
        <v>0</v>
      </c>
      <c r="AT28" s="39"/>
      <c r="AU28" s="39">
        <f t="shared" si="8"/>
        <v>0</v>
      </c>
      <c r="AV28" s="39"/>
      <c r="AW28" s="39">
        <f t="shared" si="9"/>
        <v>0</v>
      </c>
      <c r="AX28" s="39"/>
      <c r="AY28" s="39">
        <f t="shared" si="10"/>
        <v>0</v>
      </c>
    </row>
    <row r="29" spans="1:51" s="7" customFormat="1" ht="12" x14ac:dyDescent="0.2">
      <c r="A29" s="7" t="s">
        <v>499</v>
      </c>
      <c r="C29" s="7" t="s">
        <v>500</v>
      </c>
      <c r="E29" s="35">
        <v>1390269</v>
      </c>
      <c r="F29" s="35"/>
      <c r="G29" s="35">
        <v>515467</v>
      </c>
      <c r="H29" s="35"/>
      <c r="I29" s="35">
        <v>6888</v>
      </c>
      <c r="J29" s="35"/>
      <c r="K29" s="35">
        <v>0</v>
      </c>
      <c r="L29" s="35"/>
      <c r="M29" s="35">
        <f t="shared" si="4"/>
        <v>-867914</v>
      </c>
      <c r="N29" s="35"/>
      <c r="O29" s="35">
        <f t="shared" si="5"/>
        <v>-867914</v>
      </c>
      <c r="P29" s="35"/>
      <c r="Q29" s="35">
        <v>81880</v>
      </c>
      <c r="R29" s="35"/>
      <c r="S29" s="35">
        <v>553478</v>
      </c>
      <c r="T29" s="35"/>
      <c r="U29" s="35">
        <v>155067</v>
      </c>
      <c r="V29" s="35"/>
      <c r="W29" s="35">
        <v>5360</v>
      </c>
      <c r="X29" s="35"/>
      <c r="Y29" s="35">
        <v>0</v>
      </c>
      <c r="Z29" s="35"/>
      <c r="AA29" s="35">
        <f>629+1234+1251</f>
        <v>3114</v>
      </c>
      <c r="AB29" s="35"/>
      <c r="AC29" s="35">
        <v>0</v>
      </c>
      <c r="AD29" s="35"/>
      <c r="AE29" s="35">
        <f>131117-1725</f>
        <v>129392</v>
      </c>
      <c r="AF29" s="35"/>
      <c r="AG29" s="35">
        <v>0</v>
      </c>
      <c r="AH29" s="35"/>
      <c r="AI29" s="35">
        <v>1725</v>
      </c>
      <c r="AJ29" s="35"/>
      <c r="AK29" s="35">
        <f t="shared" si="6"/>
        <v>930016</v>
      </c>
      <c r="AL29" s="35"/>
      <c r="AM29" s="35">
        <v>62102</v>
      </c>
      <c r="AN29" s="35"/>
      <c r="AO29" s="35">
        <f>727883-62102</f>
        <v>665781</v>
      </c>
      <c r="AP29" s="35"/>
      <c r="AQ29" s="35">
        <v>727883</v>
      </c>
      <c r="AS29" s="39">
        <f t="shared" si="7"/>
        <v>0</v>
      </c>
      <c r="AT29" s="39"/>
      <c r="AU29" s="39">
        <f t="shared" si="8"/>
        <v>0</v>
      </c>
      <c r="AV29" s="39"/>
      <c r="AW29" s="39">
        <f t="shared" si="9"/>
        <v>0</v>
      </c>
      <c r="AX29" s="39"/>
      <c r="AY29" s="39">
        <f t="shared" si="10"/>
        <v>0</v>
      </c>
    </row>
    <row r="30" spans="1:51" s="7" customFormat="1" ht="12" x14ac:dyDescent="0.2">
      <c r="A30" s="7" t="s">
        <v>87</v>
      </c>
      <c r="C30" s="7" t="s">
        <v>762</v>
      </c>
      <c r="E30" s="35">
        <v>140214.15</v>
      </c>
      <c r="F30" s="35"/>
      <c r="G30" s="35">
        <v>5428.27</v>
      </c>
      <c r="H30" s="35"/>
      <c r="I30" s="35">
        <v>17596.53</v>
      </c>
      <c r="J30" s="35"/>
      <c r="K30" s="35">
        <v>59166.12</v>
      </c>
      <c r="L30" s="35"/>
      <c r="M30" s="35">
        <f t="shared" si="4"/>
        <v>-58023.229999999996</v>
      </c>
      <c r="N30" s="35"/>
      <c r="O30" s="35">
        <f t="shared" si="5"/>
        <v>-58023.23</v>
      </c>
      <c r="P30" s="35"/>
      <c r="Q30" s="35">
        <v>30871.010000000002</v>
      </c>
      <c r="R30" s="35"/>
      <c r="S30" s="35">
        <v>0</v>
      </c>
      <c r="T30" s="35"/>
      <c r="U30" s="35">
        <v>10215.280000000001</v>
      </c>
      <c r="V30" s="35"/>
      <c r="W30" s="35">
        <v>507.31</v>
      </c>
      <c r="X30" s="35"/>
      <c r="Y30" s="35">
        <v>0</v>
      </c>
      <c r="Z30" s="35"/>
      <c r="AA30" s="35">
        <v>14762.34</v>
      </c>
      <c r="AB30" s="35"/>
      <c r="AC30" s="35">
        <v>0</v>
      </c>
      <c r="AD30" s="35"/>
      <c r="AE30" s="35">
        <v>0</v>
      </c>
      <c r="AF30" s="35"/>
      <c r="AG30" s="35">
        <v>0</v>
      </c>
      <c r="AH30" s="35"/>
      <c r="AI30" s="35">
        <v>0</v>
      </c>
      <c r="AJ30" s="35"/>
      <c r="AK30" s="35">
        <f t="shared" si="6"/>
        <v>56355.94</v>
      </c>
      <c r="AL30" s="35"/>
      <c r="AM30" s="35">
        <v>-1667.29</v>
      </c>
      <c r="AN30" s="35"/>
      <c r="AO30" s="35">
        <v>110085.84</v>
      </c>
      <c r="AP30" s="35"/>
      <c r="AQ30" s="35">
        <v>108418.55</v>
      </c>
      <c r="AS30" s="39">
        <f t="shared" si="7"/>
        <v>0</v>
      </c>
      <c r="AT30" s="39"/>
      <c r="AU30" s="39">
        <f t="shared" si="8"/>
        <v>0</v>
      </c>
      <c r="AV30" s="39"/>
      <c r="AW30" s="39">
        <f t="shared" si="9"/>
        <v>0</v>
      </c>
      <c r="AX30" s="39"/>
      <c r="AY30" s="39">
        <f t="shared" si="10"/>
        <v>0</v>
      </c>
    </row>
    <row r="31" spans="1:51" s="7" customFormat="1" ht="12" x14ac:dyDescent="0.2">
      <c r="A31" s="7" t="s">
        <v>830</v>
      </c>
      <c r="C31" s="7" t="s">
        <v>813</v>
      </c>
      <c r="E31" s="35">
        <v>198848.93</v>
      </c>
      <c r="F31" s="35"/>
      <c r="G31" s="35">
        <v>30021.99</v>
      </c>
      <c r="H31" s="35"/>
      <c r="I31" s="35">
        <v>22862.53</v>
      </c>
      <c r="J31" s="35"/>
      <c r="K31" s="35">
        <v>0</v>
      </c>
      <c r="L31" s="35"/>
      <c r="M31" s="35">
        <f t="shared" si="4"/>
        <v>-145964.40999999997</v>
      </c>
      <c r="N31" s="35"/>
      <c r="O31" s="35">
        <f t="shared" si="5"/>
        <v>-145964.41</v>
      </c>
      <c r="P31" s="35"/>
      <c r="Q31" s="35">
        <v>7253.45</v>
      </c>
      <c r="R31" s="35"/>
      <c r="S31" s="35">
        <v>84786.38</v>
      </c>
      <c r="T31" s="35"/>
      <c r="U31" s="35">
        <v>9348</v>
      </c>
      <c r="V31" s="35"/>
      <c r="W31" s="35">
        <v>644.22</v>
      </c>
      <c r="X31" s="35"/>
      <c r="Y31" s="35">
        <v>0</v>
      </c>
      <c r="Z31" s="35"/>
      <c r="AA31" s="35">
        <v>16828.72</v>
      </c>
      <c r="AB31" s="35"/>
      <c r="AC31" s="35">
        <v>0</v>
      </c>
      <c r="AD31" s="35"/>
      <c r="AE31" s="35">
        <v>0</v>
      </c>
      <c r="AF31" s="35"/>
      <c r="AG31" s="35">
        <v>0</v>
      </c>
      <c r="AH31" s="35"/>
      <c r="AI31" s="35">
        <v>0</v>
      </c>
      <c r="AJ31" s="35"/>
      <c r="AK31" s="35">
        <f t="shared" si="6"/>
        <v>118860.77</v>
      </c>
      <c r="AL31" s="35"/>
      <c r="AM31" s="35">
        <v>-27103.64</v>
      </c>
      <c r="AN31" s="35"/>
      <c r="AO31" s="35">
        <v>254293.6</v>
      </c>
      <c r="AP31" s="35"/>
      <c r="AQ31" s="35">
        <v>227189.96</v>
      </c>
      <c r="AS31" s="39">
        <f t="shared" si="7"/>
        <v>0</v>
      </c>
      <c r="AT31" s="39"/>
      <c r="AU31" s="39">
        <f t="shared" si="8"/>
        <v>0</v>
      </c>
      <c r="AV31" s="39"/>
      <c r="AW31" s="39">
        <f t="shared" si="9"/>
        <v>0</v>
      </c>
      <c r="AX31" s="39"/>
      <c r="AY31" s="39">
        <f t="shared" si="10"/>
        <v>0</v>
      </c>
    </row>
    <row r="32" spans="1:51" s="7" customFormat="1" ht="12" x14ac:dyDescent="0.2">
      <c r="A32" s="7" t="s">
        <v>28</v>
      </c>
      <c r="C32" s="7" t="s">
        <v>744</v>
      </c>
      <c r="E32" s="35">
        <v>118149.51</v>
      </c>
      <c r="F32" s="35"/>
      <c r="G32" s="35">
        <v>2165</v>
      </c>
      <c r="H32" s="35"/>
      <c r="I32" s="35">
        <v>15068.93</v>
      </c>
      <c r="J32" s="35"/>
      <c r="K32" s="35">
        <v>0</v>
      </c>
      <c r="L32" s="35"/>
      <c r="M32" s="35">
        <f t="shared" si="4"/>
        <v>-100915.57999999999</v>
      </c>
      <c r="N32" s="35"/>
      <c r="O32" s="35">
        <f t="shared" si="5"/>
        <v>-100915.57999999999</v>
      </c>
      <c r="P32" s="35"/>
      <c r="Q32" s="35">
        <v>28705.57</v>
      </c>
      <c r="R32" s="35"/>
      <c r="S32" s="35">
        <v>0</v>
      </c>
      <c r="T32" s="35"/>
      <c r="U32" s="35">
        <v>37713.75</v>
      </c>
      <c r="V32" s="35"/>
      <c r="W32" s="35">
        <v>28.37</v>
      </c>
      <c r="X32" s="35"/>
      <c r="Y32" s="35">
        <v>1045.5</v>
      </c>
      <c r="Z32" s="35"/>
      <c r="AA32" s="35">
        <v>19790.39</v>
      </c>
      <c r="AB32" s="35"/>
      <c r="AC32" s="35">
        <v>0</v>
      </c>
      <c r="AD32" s="35"/>
      <c r="AE32" s="35">
        <v>0</v>
      </c>
      <c r="AF32" s="35"/>
      <c r="AG32" s="35">
        <v>0</v>
      </c>
      <c r="AH32" s="35"/>
      <c r="AI32" s="35">
        <v>0</v>
      </c>
      <c r="AJ32" s="35"/>
      <c r="AK32" s="35">
        <f t="shared" si="6"/>
        <v>87283.58</v>
      </c>
      <c r="AL32" s="35"/>
      <c r="AM32" s="35">
        <v>-13632</v>
      </c>
      <c r="AN32" s="35"/>
      <c r="AO32" s="35">
        <v>66685.289999999994</v>
      </c>
      <c r="AP32" s="35"/>
      <c r="AQ32" s="35">
        <v>53053.29</v>
      </c>
      <c r="AS32" s="39">
        <f t="shared" si="7"/>
        <v>0</v>
      </c>
      <c r="AT32" s="39"/>
      <c r="AU32" s="39">
        <f t="shared" si="8"/>
        <v>0</v>
      </c>
      <c r="AV32" s="39"/>
      <c r="AW32" s="39">
        <f t="shared" si="9"/>
        <v>1.4551915228366852E-11</v>
      </c>
      <c r="AX32" s="39"/>
      <c r="AY32" s="39">
        <f t="shared" si="10"/>
        <v>0</v>
      </c>
    </row>
    <row r="33" spans="1:51" s="7" customFormat="1" ht="12" x14ac:dyDescent="0.2">
      <c r="A33" s="7" t="s">
        <v>116</v>
      </c>
      <c r="C33" s="7" t="s">
        <v>770</v>
      </c>
      <c r="E33" s="35">
        <v>254610.98</v>
      </c>
      <c r="F33" s="35"/>
      <c r="G33" s="35">
        <v>272720.26</v>
      </c>
      <c r="H33" s="35"/>
      <c r="I33" s="35">
        <v>36195.629999999997</v>
      </c>
      <c r="J33" s="35"/>
      <c r="K33" s="35">
        <v>0</v>
      </c>
      <c r="L33" s="35"/>
      <c r="M33" s="35">
        <f t="shared" si="4"/>
        <v>54304.91</v>
      </c>
      <c r="N33" s="35"/>
      <c r="O33" s="35">
        <f t="shared" si="5"/>
        <v>54304.909999999996</v>
      </c>
      <c r="P33" s="35"/>
      <c r="Q33" s="35">
        <v>56818.9</v>
      </c>
      <c r="R33" s="35"/>
      <c r="S33" s="35">
        <v>0</v>
      </c>
      <c r="T33" s="35"/>
      <c r="U33" s="35">
        <v>113521.91</v>
      </c>
      <c r="V33" s="35"/>
      <c r="W33" s="35">
        <v>1080.68</v>
      </c>
      <c r="X33" s="35"/>
      <c r="Y33" s="35">
        <v>7622.16</v>
      </c>
      <c r="Z33" s="35"/>
      <c r="AA33" s="35">
        <v>20331.169999999998</v>
      </c>
      <c r="AB33" s="35"/>
      <c r="AC33" s="35">
        <v>0</v>
      </c>
      <c r="AD33" s="35"/>
      <c r="AE33" s="35">
        <v>-948.57</v>
      </c>
      <c r="AF33" s="35"/>
      <c r="AG33" s="35">
        <v>0</v>
      </c>
      <c r="AH33" s="35"/>
      <c r="AI33" s="35">
        <v>0</v>
      </c>
      <c r="AJ33" s="35"/>
      <c r="AK33" s="35">
        <f t="shared" si="6"/>
        <v>198426.25</v>
      </c>
      <c r="AL33" s="35"/>
      <c r="AM33" s="35">
        <v>252731.16</v>
      </c>
      <c r="AN33" s="35"/>
      <c r="AO33" s="35">
        <v>43613.69</v>
      </c>
      <c r="AP33" s="35"/>
      <c r="AQ33" s="35">
        <v>296344.84999999998</v>
      </c>
      <c r="AS33" s="39">
        <f t="shared" si="7"/>
        <v>0</v>
      </c>
      <c r="AT33" s="39"/>
      <c r="AU33" s="39">
        <f t="shared" si="8"/>
        <v>0</v>
      </c>
      <c r="AV33" s="39"/>
      <c r="AW33" s="39">
        <f t="shared" si="9"/>
        <v>0</v>
      </c>
      <c r="AX33" s="39"/>
      <c r="AY33" s="39">
        <f t="shared" si="10"/>
        <v>0</v>
      </c>
    </row>
    <row r="34" spans="1:51" s="7" customFormat="1" ht="12" x14ac:dyDescent="0.2">
      <c r="A34" s="7" t="s">
        <v>592</v>
      </c>
      <c r="C34" s="7" t="s">
        <v>588</v>
      </c>
      <c r="E34" s="35">
        <v>1607067.75</v>
      </c>
      <c r="F34" s="35"/>
      <c r="G34" s="35">
        <v>67864.88</v>
      </c>
      <c r="H34" s="35"/>
      <c r="I34" s="35">
        <v>209230.56</v>
      </c>
      <c r="J34" s="35"/>
      <c r="K34" s="35">
        <v>0</v>
      </c>
      <c r="L34" s="35"/>
      <c r="M34" s="35">
        <f t="shared" si="4"/>
        <v>-1329972.31</v>
      </c>
      <c r="N34" s="35"/>
      <c r="O34" s="35">
        <f t="shared" si="5"/>
        <v>-1329972.31</v>
      </c>
      <c r="P34" s="35"/>
      <c r="Q34" s="35">
        <v>315794.97000000003</v>
      </c>
      <c r="R34" s="35"/>
      <c r="S34" s="35">
        <v>805854.59</v>
      </c>
      <c r="T34" s="35"/>
      <c r="U34" s="35">
        <v>51745.2</v>
      </c>
      <c r="V34" s="35"/>
      <c r="W34" s="35">
        <v>5886.43</v>
      </c>
      <c r="X34" s="35"/>
      <c r="Y34" s="35">
        <v>0</v>
      </c>
      <c r="Z34" s="35"/>
      <c r="AA34" s="35">
        <v>24851.62</v>
      </c>
      <c r="AB34" s="35"/>
      <c r="AC34" s="35">
        <v>0</v>
      </c>
      <c r="AD34" s="35"/>
      <c r="AE34" s="35">
        <v>0</v>
      </c>
      <c r="AF34" s="35"/>
      <c r="AG34" s="35">
        <v>0</v>
      </c>
      <c r="AH34" s="35"/>
      <c r="AI34" s="35">
        <v>0</v>
      </c>
      <c r="AJ34" s="35"/>
      <c r="AK34" s="35">
        <f t="shared" si="6"/>
        <v>1204132.81</v>
      </c>
      <c r="AL34" s="35"/>
      <c r="AM34" s="35">
        <v>-125839.5</v>
      </c>
      <c r="AN34" s="35"/>
      <c r="AO34" s="35">
        <v>1511582.84</v>
      </c>
      <c r="AP34" s="35"/>
      <c r="AQ34" s="35">
        <v>1385743.34</v>
      </c>
      <c r="AS34" s="39">
        <f t="shared" si="7"/>
        <v>0</v>
      </c>
      <c r="AT34" s="39"/>
      <c r="AU34" s="39">
        <f t="shared" si="8"/>
        <v>0</v>
      </c>
      <c r="AV34" s="39"/>
      <c r="AW34" s="39">
        <f t="shared" si="9"/>
        <v>0</v>
      </c>
      <c r="AX34" s="39"/>
      <c r="AY34" s="39">
        <f t="shared" si="10"/>
        <v>0</v>
      </c>
    </row>
    <row r="35" spans="1:51" s="7" customFormat="1" ht="12" x14ac:dyDescent="0.2">
      <c r="A35" s="7" t="s">
        <v>944</v>
      </c>
      <c r="C35" s="7" t="s">
        <v>305</v>
      </c>
      <c r="E35" s="35">
        <v>2584856</v>
      </c>
      <c r="F35" s="35"/>
      <c r="G35" s="35">
        <v>372487</v>
      </c>
      <c r="H35" s="35"/>
      <c r="I35" s="35">
        <v>567125</v>
      </c>
      <c r="J35" s="35"/>
      <c r="K35" s="35">
        <v>209544</v>
      </c>
      <c r="L35" s="35"/>
      <c r="M35" s="35">
        <f t="shared" si="4"/>
        <v>-1435700</v>
      </c>
      <c r="N35" s="35"/>
      <c r="O35" s="35">
        <f t="shared" si="5"/>
        <v>-1435700</v>
      </c>
      <c r="P35" s="35"/>
      <c r="Q35" s="35">
        <f>112688+561626+487</f>
        <v>674801</v>
      </c>
      <c r="R35" s="35"/>
      <c r="S35" s="35">
        <v>962323</v>
      </c>
      <c r="T35" s="35"/>
      <c r="U35" s="35">
        <v>172207</v>
      </c>
      <c r="V35" s="35"/>
      <c r="W35" s="35">
        <v>632</v>
      </c>
      <c r="X35" s="35"/>
      <c r="Y35" s="35">
        <v>23879</v>
      </c>
      <c r="Z35" s="35"/>
      <c r="AA35" s="35">
        <v>0</v>
      </c>
      <c r="AB35" s="35"/>
      <c r="AC35" s="35">
        <v>0</v>
      </c>
      <c r="AD35" s="35"/>
      <c r="AE35" s="35">
        <v>0</v>
      </c>
      <c r="AF35" s="35"/>
      <c r="AG35" s="35">
        <v>0</v>
      </c>
      <c r="AH35" s="35"/>
      <c r="AI35" s="35">
        <v>0</v>
      </c>
      <c r="AJ35" s="35"/>
      <c r="AK35" s="35">
        <f t="shared" si="6"/>
        <v>1833842</v>
      </c>
      <c r="AL35" s="35"/>
      <c r="AM35" s="35">
        <v>398142</v>
      </c>
      <c r="AN35" s="35"/>
      <c r="AO35" s="35">
        <v>5652555</v>
      </c>
      <c r="AP35" s="35"/>
      <c r="AQ35" s="35">
        <v>6050697</v>
      </c>
      <c r="AS35" s="39">
        <f t="shared" si="7"/>
        <v>0</v>
      </c>
      <c r="AT35" s="39"/>
      <c r="AU35" s="39">
        <f t="shared" si="8"/>
        <v>0</v>
      </c>
      <c r="AV35" s="39"/>
      <c r="AW35" s="39">
        <f t="shared" si="9"/>
        <v>0</v>
      </c>
      <c r="AX35" s="39"/>
      <c r="AY35" s="39">
        <f t="shared" si="10"/>
        <v>0</v>
      </c>
    </row>
    <row r="36" spans="1:51" s="7" customFormat="1" ht="12" x14ac:dyDescent="0.2">
      <c r="A36" s="7" t="s">
        <v>908</v>
      </c>
      <c r="C36" s="7" t="s">
        <v>378</v>
      </c>
      <c r="E36" s="35">
        <v>13426348</v>
      </c>
      <c r="F36" s="35"/>
      <c r="G36" s="35">
        <v>698557</v>
      </c>
      <c r="H36" s="35"/>
      <c r="I36" s="35">
        <v>521551</v>
      </c>
      <c r="J36" s="35"/>
      <c r="K36" s="35">
        <v>623588</v>
      </c>
      <c r="L36" s="35"/>
      <c r="M36" s="35">
        <f t="shared" si="4"/>
        <v>-11582652</v>
      </c>
      <c r="N36" s="35"/>
      <c r="O36" s="35">
        <f t="shared" si="5"/>
        <v>-11582652</v>
      </c>
      <c r="P36" s="35"/>
      <c r="Q36" s="35">
        <v>172234</v>
      </c>
      <c r="R36" s="35"/>
      <c r="S36" s="35">
        <v>12748063</v>
      </c>
      <c r="T36" s="35"/>
      <c r="U36" s="35">
        <v>242263</v>
      </c>
      <c r="V36" s="35"/>
      <c r="W36" s="35">
        <v>6969</v>
      </c>
      <c r="X36" s="35"/>
      <c r="Y36" s="35">
        <v>0</v>
      </c>
      <c r="Z36" s="35"/>
      <c r="AA36" s="35">
        <f>143723+38383</f>
        <v>182106</v>
      </c>
      <c r="AB36" s="35"/>
      <c r="AC36" s="35">
        <v>0</v>
      </c>
      <c r="AD36" s="35"/>
      <c r="AE36" s="35">
        <v>0</v>
      </c>
      <c r="AF36" s="35"/>
      <c r="AG36" s="35">
        <v>0</v>
      </c>
      <c r="AH36" s="35"/>
      <c r="AI36" s="35">
        <v>0</v>
      </c>
      <c r="AJ36" s="35"/>
      <c r="AK36" s="35">
        <f t="shared" si="6"/>
        <v>13351635</v>
      </c>
      <c r="AL36" s="35"/>
      <c r="AM36" s="35">
        <v>1768983</v>
      </c>
      <c r="AN36" s="35"/>
      <c r="AO36" s="35">
        <v>16100659</v>
      </c>
      <c r="AP36" s="35"/>
      <c r="AQ36" s="35">
        <v>17869642</v>
      </c>
      <c r="AS36" s="39">
        <f t="shared" si="7"/>
        <v>0</v>
      </c>
      <c r="AT36" s="39"/>
      <c r="AU36" s="39">
        <f t="shared" si="8"/>
        <v>0</v>
      </c>
      <c r="AV36" s="39"/>
      <c r="AW36" s="39">
        <f t="shared" si="9"/>
        <v>0</v>
      </c>
      <c r="AX36" s="39"/>
      <c r="AY36" s="39">
        <f t="shared" si="10"/>
        <v>0</v>
      </c>
    </row>
    <row r="37" spans="1:51" s="7" customFormat="1" ht="12" x14ac:dyDescent="0.2">
      <c r="A37" s="7" t="s">
        <v>222</v>
      </c>
      <c r="C37" s="7" t="s">
        <v>803</v>
      </c>
      <c r="E37" s="35">
        <v>1593090.01</v>
      </c>
      <c r="F37" s="35"/>
      <c r="G37" s="35">
        <v>750</v>
      </c>
      <c r="H37" s="35"/>
      <c r="I37" s="35">
        <v>1303.53</v>
      </c>
      <c r="J37" s="35"/>
      <c r="K37" s="35">
        <v>0</v>
      </c>
      <c r="L37" s="35"/>
      <c r="M37" s="35">
        <f t="shared" si="4"/>
        <v>-1591036.48</v>
      </c>
      <c r="N37" s="35"/>
      <c r="O37" s="35">
        <f t="shared" si="5"/>
        <v>-1591036.48</v>
      </c>
      <c r="P37" s="35"/>
      <c r="Q37" s="35">
        <v>210052.87</v>
      </c>
      <c r="R37" s="35"/>
      <c r="S37" s="35">
        <v>1094456.3799999999</v>
      </c>
      <c r="T37" s="35"/>
      <c r="U37" s="35">
        <v>245385.38</v>
      </c>
      <c r="V37" s="35"/>
      <c r="W37" s="35">
        <v>0</v>
      </c>
      <c r="X37" s="35"/>
      <c r="Y37" s="35">
        <v>0</v>
      </c>
      <c r="Z37" s="35"/>
      <c r="AA37" s="35">
        <v>14909.69</v>
      </c>
      <c r="AB37" s="35"/>
      <c r="AC37" s="35">
        <v>0</v>
      </c>
      <c r="AD37" s="35"/>
      <c r="AE37" s="35">
        <v>0</v>
      </c>
      <c r="AF37" s="35"/>
      <c r="AG37" s="35">
        <v>0</v>
      </c>
      <c r="AH37" s="35"/>
      <c r="AI37" s="35">
        <v>0</v>
      </c>
      <c r="AJ37" s="35"/>
      <c r="AK37" s="35">
        <f t="shared" si="6"/>
        <v>1564804.3199999998</v>
      </c>
      <c r="AL37" s="35"/>
      <c r="AM37" s="35">
        <v>-26232.16</v>
      </c>
      <c r="AN37" s="35"/>
      <c r="AO37" s="35">
        <v>1123498.22</v>
      </c>
      <c r="AP37" s="35"/>
      <c r="AQ37" s="35">
        <v>1097266.06</v>
      </c>
      <c r="AS37" s="39">
        <f t="shared" si="7"/>
        <v>0</v>
      </c>
      <c r="AT37" s="39"/>
      <c r="AU37" s="39">
        <f t="shared" si="8"/>
        <v>0</v>
      </c>
      <c r="AV37" s="39"/>
      <c r="AW37" s="39">
        <f t="shared" si="9"/>
        <v>-1.4915713109076023E-10</v>
      </c>
      <c r="AX37" s="39"/>
      <c r="AY37" s="39">
        <f t="shared" si="10"/>
        <v>0</v>
      </c>
    </row>
    <row r="38" spans="1:51" s="7" customFormat="1" ht="12" x14ac:dyDescent="0.2">
      <c r="A38" s="7" t="s">
        <v>212</v>
      </c>
      <c r="C38" s="7" t="s">
        <v>523</v>
      </c>
      <c r="E38" s="35">
        <v>135606.59</v>
      </c>
      <c r="F38" s="35"/>
      <c r="G38" s="35">
        <v>0</v>
      </c>
      <c r="H38" s="35"/>
      <c r="I38" s="35">
        <v>43454.85</v>
      </c>
      <c r="J38" s="35"/>
      <c r="K38" s="35">
        <v>0</v>
      </c>
      <c r="L38" s="35"/>
      <c r="M38" s="35">
        <f t="shared" si="4"/>
        <v>-92151.739999999991</v>
      </c>
      <c r="N38" s="35"/>
      <c r="O38" s="35">
        <f t="shared" si="5"/>
        <v>-92151.739999999991</v>
      </c>
      <c r="P38" s="35"/>
      <c r="Q38" s="35">
        <v>57718.49</v>
      </c>
      <c r="R38" s="35"/>
      <c r="S38" s="35">
        <v>0</v>
      </c>
      <c r="T38" s="35"/>
      <c r="U38" s="35">
        <v>43024.53</v>
      </c>
      <c r="V38" s="35"/>
      <c r="W38" s="35">
        <v>0</v>
      </c>
      <c r="X38" s="35"/>
      <c r="Y38" s="35">
        <v>23568.81</v>
      </c>
      <c r="Z38" s="35"/>
      <c r="AA38" s="35">
        <v>13494.5</v>
      </c>
      <c r="AB38" s="35"/>
      <c r="AC38" s="35">
        <v>0</v>
      </c>
      <c r="AD38" s="35"/>
      <c r="AE38" s="35">
        <v>-20833.34</v>
      </c>
      <c r="AF38" s="35"/>
      <c r="AG38" s="35">
        <v>0</v>
      </c>
      <c r="AH38" s="35"/>
      <c r="AI38" s="35">
        <v>0</v>
      </c>
      <c r="AJ38" s="35"/>
      <c r="AK38" s="35">
        <f t="shared" si="6"/>
        <v>116972.98999999999</v>
      </c>
      <c r="AL38" s="35"/>
      <c r="AM38" s="35">
        <v>24821.25</v>
      </c>
      <c r="AN38" s="35"/>
      <c r="AO38" s="35">
        <v>840621.2</v>
      </c>
      <c r="AP38" s="35"/>
      <c r="AQ38" s="35">
        <v>865442.45</v>
      </c>
      <c r="AS38" s="39">
        <f t="shared" si="7"/>
        <v>0</v>
      </c>
      <c r="AT38" s="39"/>
      <c r="AU38" s="39">
        <f t="shared" si="8"/>
        <v>0</v>
      </c>
      <c r="AV38" s="39"/>
      <c r="AW38" s="39">
        <f t="shared" si="9"/>
        <v>0</v>
      </c>
      <c r="AX38" s="39"/>
      <c r="AY38" s="39">
        <f t="shared" si="10"/>
        <v>0</v>
      </c>
    </row>
    <row r="39" spans="1:51" s="7" customFormat="1" ht="12" x14ac:dyDescent="0.2">
      <c r="A39" s="7" t="s">
        <v>57</v>
      </c>
      <c r="C39" s="7" t="s">
        <v>754</v>
      </c>
      <c r="E39" s="35">
        <v>544691.16</v>
      </c>
      <c r="F39" s="35"/>
      <c r="G39" s="35">
        <v>4425</v>
      </c>
      <c r="H39" s="35"/>
      <c r="I39" s="35">
        <v>46923.94</v>
      </c>
      <c r="J39" s="35"/>
      <c r="K39" s="35">
        <v>0</v>
      </c>
      <c r="L39" s="35"/>
      <c r="M39" s="35">
        <f t="shared" si="4"/>
        <v>-493342.22000000003</v>
      </c>
      <c r="N39" s="35"/>
      <c r="O39" s="35">
        <f t="shared" si="5"/>
        <v>-493342.22000000003</v>
      </c>
      <c r="P39" s="35"/>
      <c r="Q39" s="35">
        <v>60240.92</v>
      </c>
      <c r="R39" s="35"/>
      <c r="S39" s="35">
        <v>271362.37</v>
      </c>
      <c r="T39" s="35"/>
      <c r="U39" s="35">
        <v>22171.84</v>
      </c>
      <c r="V39" s="35"/>
      <c r="W39" s="35">
        <v>0</v>
      </c>
      <c r="X39" s="35"/>
      <c r="Y39" s="35">
        <v>0</v>
      </c>
      <c r="Z39" s="35"/>
      <c r="AA39" s="35">
        <v>41241.56</v>
      </c>
      <c r="AB39" s="35"/>
      <c r="AC39" s="35">
        <v>0</v>
      </c>
      <c r="AD39" s="35"/>
      <c r="AE39" s="35">
        <v>0</v>
      </c>
      <c r="AF39" s="35"/>
      <c r="AG39" s="35">
        <v>0</v>
      </c>
      <c r="AH39" s="35"/>
      <c r="AI39" s="35">
        <v>0</v>
      </c>
      <c r="AJ39" s="35"/>
      <c r="AK39" s="35">
        <f t="shared" si="6"/>
        <v>395016.69</v>
      </c>
      <c r="AL39" s="35"/>
      <c r="AM39" s="35">
        <v>-98325.53</v>
      </c>
      <c r="AN39" s="35"/>
      <c r="AO39" s="35">
        <v>514230.17</v>
      </c>
      <c r="AP39" s="35"/>
      <c r="AQ39" s="35">
        <v>415904.64</v>
      </c>
      <c r="AS39" s="39">
        <f t="shared" si="7"/>
        <v>0</v>
      </c>
      <c r="AT39" s="39"/>
      <c r="AU39" s="39">
        <f t="shared" si="8"/>
        <v>0</v>
      </c>
      <c r="AV39" s="39"/>
      <c r="AW39" s="39">
        <f t="shared" si="9"/>
        <v>0</v>
      </c>
      <c r="AX39" s="39"/>
      <c r="AY39" s="39">
        <f t="shared" si="10"/>
        <v>0</v>
      </c>
    </row>
    <row r="40" spans="1:51" s="7" customFormat="1" ht="12" x14ac:dyDescent="0.2">
      <c r="A40" s="7" t="s">
        <v>363</v>
      </c>
      <c r="C40" s="7" t="s">
        <v>760</v>
      </c>
      <c r="E40" s="35">
        <v>7305796</v>
      </c>
      <c r="F40" s="35"/>
      <c r="G40" s="35">
        <v>1669994</v>
      </c>
      <c r="H40" s="35"/>
      <c r="I40" s="35">
        <v>422289</v>
      </c>
      <c r="J40" s="35"/>
      <c r="K40" s="35">
        <v>7786</v>
      </c>
      <c r="L40" s="35"/>
      <c r="M40" s="35">
        <f t="shared" si="4"/>
        <v>-5205727</v>
      </c>
      <c r="N40" s="35"/>
      <c r="O40" s="35">
        <f t="shared" si="5"/>
        <v>-5205727</v>
      </c>
      <c r="P40" s="35"/>
      <c r="Q40" s="35">
        <f>222943+117153+160000</f>
        <v>500096</v>
      </c>
      <c r="R40" s="35"/>
      <c r="S40" s="35">
        <v>1680028</v>
      </c>
      <c r="T40" s="35"/>
      <c r="U40" s="35">
        <v>329201</v>
      </c>
      <c r="V40" s="35"/>
      <c r="W40" s="35">
        <v>74431</v>
      </c>
      <c r="X40" s="35"/>
      <c r="Y40" s="35">
        <v>60713</v>
      </c>
      <c r="Z40" s="35"/>
      <c r="AA40" s="35">
        <f>2450+36357+98854</f>
        <v>137661</v>
      </c>
      <c r="AB40" s="35"/>
      <c r="AC40" s="35">
        <v>0</v>
      </c>
      <c r="AD40" s="35"/>
      <c r="AE40" s="35">
        <f>312260-27351</f>
        <v>284909</v>
      </c>
      <c r="AF40" s="35"/>
      <c r="AG40" s="35">
        <v>0</v>
      </c>
      <c r="AH40" s="35"/>
      <c r="AI40" s="35">
        <v>0</v>
      </c>
      <c r="AJ40" s="35"/>
      <c r="AK40" s="35">
        <f t="shared" si="6"/>
        <v>3067039</v>
      </c>
      <c r="AL40" s="35"/>
      <c r="AM40" s="35">
        <v>-2138688</v>
      </c>
      <c r="AN40" s="35"/>
      <c r="AO40" s="35">
        <v>4308780</v>
      </c>
      <c r="AP40" s="35"/>
      <c r="AQ40" s="35">
        <v>2170092</v>
      </c>
      <c r="AS40" s="39">
        <f t="shared" si="7"/>
        <v>0</v>
      </c>
      <c r="AT40" s="39"/>
      <c r="AU40" s="39">
        <f t="shared" si="8"/>
        <v>0</v>
      </c>
      <c r="AV40" s="39"/>
      <c r="AW40" s="39">
        <f t="shared" si="9"/>
        <v>0</v>
      </c>
      <c r="AX40" s="39"/>
      <c r="AY40" s="39">
        <f t="shared" si="10"/>
        <v>0</v>
      </c>
    </row>
    <row r="41" spans="1:51" s="7" customFormat="1" ht="12" x14ac:dyDescent="0.2">
      <c r="A41" s="7" t="s">
        <v>320</v>
      </c>
      <c r="C41" s="7" t="s">
        <v>316</v>
      </c>
      <c r="E41" s="35">
        <v>5205690</v>
      </c>
      <c r="F41" s="35"/>
      <c r="G41" s="35">
        <v>556441</v>
      </c>
      <c r="H41" s="35"/>
      <c r="I41" s="35">
        <v>63084</v>
      </c>
      <c r="J41" s="35"/>
      <c r="K41" s="35">
        <v>5000</v>
      </c>
      <c r="L41" s="35"/>
      <c r="M41" s="35">
        <f t="shared" si="4"/>
        <v>-4581165</v>
      </c>
      <c r="N41" s="35"/>
      <c r="O41" s="35">
        <f t="shared" si="5"/>
        <v>-4581165</v>
      </c>
      <c r="P41" s="35"/>
      <c r="Q41" s="35">
        <v>3929057</v>
      </c>
      <c r="R41" s="35"/>
      <c r="S41" s="35">
        <v>368231</v>
      </c>
      <c r="T41" s="35"/>
      <c r="U41" s="35">
        <v>502143</v>
      </c>
      <c r="V41" s="35"/>
      <c r="W41" s="35">
        <v>3839</v>
      </c>
      <c r="X41" s="35"/>
      <c r="Y41" s="35">
        <v>0</v>
      </c>
      <c r="Z41" s="35"/>
      <c r="AA41" s="35">
        <v>0</v>
      </c>
      <c r="AB41" s="35"/>
      <c r="AC41" s="35">
        <v>0</v>
      </c>
      <c r="AD41" s="35"/>
      <c r="AE41" s="35">
        <v>-153000</v>
      </c>
      <c r="AF41" s="35"/>
      <c r="AG41" s="35">
        <v>0</v>
      </c>
      <c r="AH41" s="35"/>
      <c r="AI41" s="35">
        <v>0</v>
      </c>
      <c r="AJ41" s="35"/>
      <c r="AK41" s="35">
        <f t="shared" si="6"/>
        <v>4650270</v>
      </c>
      <c r="AL41" s="35"/>
      <c r="AM41" s="35">
        <v>69105</v>
      </c>
      <c r="AN41" s="35"/>
      <c r="AO41" s="35">
        <v>4326266</v>
      </c>
      <c r="AP41" s="35"/>
      <c r="AQ41" s="35">
        <v>4395371</v>
      </c>
      <c r="AS41" s="39">
        <f t="shared" si="7"/>
        <v>0</v>
      </c>
      <c r="AT41" s="39"/>
      <c r="AU41" s="39">
        <f t="shared" si="8"/>
        <v>0</v>
      </c>
      <c r="AV41" s="39"/>
      <c r="AW41" s="39">
        <f t="shared" si="9"/>
        <v>0</v>
      </c>
      <c r="AX41" s="39"/>
      <c r="AY41" s="39">
        <f t="shared" si="10"/>
        <v>0</v>
      </c>
    </row>
    <row r="42" spans="1:51" s="7" customFormat="1" ht="12" x14ac:dyDescent="0.2">
      <c r="A42" s="7" t="s">
        <v>493</v>
      </c>
      <c r="C42" s="7" t="s">
        <v>791</v>
      </c>
      <c r="E42" s="35">
        <v>2600158</v>
      </c>
      <c r="F42" s="35"/>
      <c r="G42" s="35">
        <v>30041</v>
      </c>
      <c r="H42" s="35"/>
      <c r="I42" s="35">
        <v>96445</v>
      </c>
      <c r="J42" s="35"/>
      <c r="K42" s="35">
        <v>0</v>
      </c>
      <c r="L42" s="35"/>
      <c r="M42" s="35">
        <f t="shared" si="4"/>
        <v>-2473672</v>
      </c>
      <c r="N42" s="35"/>
      <c r="O42" s="35">
        <f t="shared" si="5"/>
        <v>-2473672</v>
      </c>
      <c r="P42" s="35"/>
      <c r="Q42" s="35">
        <f>79005+67972</f>
        <v>146977</v>
      </c>
      <c r="R42" s="35"/>
      <c r="S42" s="35">
        <v>754338</v>
      </c>
      <c r="T42" s="35"/>
      <c r="U42" s="35">
        <v>157330</v>
      </c>
      <c r="V42" s="35"/>
      <c r="W42" s="35">
        <v>8923</v>
      </c>
      <c r="X42" s="35"/>
      <c r="Y42" s="35">
        <v>0</v>
      </c>
      <c r="Z42" s="35"/>
      <c r="AA42" s="35">
        <v>16630</v>
      </c>
      <c r="AB42" s="35"/>
      <c r="AC42" s="35">
        <v>203087</v>
      </c>
      <c r="AD42" s="35"/>
      <c r="AE42" s="35">
        <v>519054</v>
      </c>
      <c r="AF42" s="35"/>
      <c r="AG42" s="35">
        <v>0</v>
      </c>
      <c r="AH42" s="35"/>
      <c r="AI42" s="35">
        <v>0</v>
      </c>
      <c r="AJ42" s="35"/>
      <c r="AK42" s="35">
        <f t="shared" si="6"/>
        <v>1806339</v>
      </c>
      <c r="AL42" s="35"/>
      <c r="AM42" s="35">
        <v>-667333</v>
      </c>
      <c r="AN42" s="35"/>
      <c r="AO42" s="35">
        <v>1195842</v>
      </c>
      <c r="AP42" s="35"/>
      <c r="AQ42" s="35">
        <v>528509</v>
      </c>
      <c r="AS42" s="39">
        <f t="shared" si="7"/>
        <v>0</v>
      </c>
      <c r="AT42" s="39"/>
      <c r="AU42" s="39">
        <f t="shared" si="8"/>
        <v>0</v>
      </c>
      <c r="AV42" s="39"/>
      <c r="AW42" s="39">
        <f t="shared" si="9"/>
        <v>0</v>
      </c>
      <c r="AX42" s="39"/>
      <c r="AY42" s="39">
        <f t="shared" si="10"/>
        <v>0</v>
      </c>
    </row>
    <row r="43" spans="1:51" s="7" customFormat="1" ht="12" x14ac:dyDescent="0.2">
      <c r="A43" s="7" t="s">
        <v>153</v>
      </c>
      <c r="C43" s="7" t="s">
        <v>781</v>
      </c>
      <c r="E43" s="35">
        <v>130043.62</v>
      </c>
      <c r="F43" s="35"/>
      <c r="G43" s="35">
        <v>1255.28</v>
      </c>
      <c r="H43" s="35"/>
      <c r="I43" s="35">
        <v>19732.330000000002</v>
      </c>
      <c r="J43" s="35"/>
      <c r="K43" s="35">
        <v>12937.97</v>
      </c>
      <c r="L43" s="35"/>
      <c r="M43" s="35">
        <f t="shared" ref="M43:M72" si="11">SUM(G43:K43)-E43</f>
        <v>-96118.04</v>
      </c>
      <c r="N43" s="35"/>
      <c r="O43" s="35">
        <f t="shared" ref="O43:O72" si="12">-E43+G43+I43+K43</f>
        <v>-96118.04</v>
      </c>
      <c r="P43" s="35"/>
      <c r="Q43" s="35">
        <v>88886.22</v>
      </c>
      <c r="R43" s="35"/>
      <c r="S43" s="35">
        <v>0</v>
      </c>
      <c r="T43" s="35"/>
      <c r="U43" s="35">
        <v>26094.880000000001</v>
      </c>
      <c r="V43" s="35"/>
      <c r="W43" s="35">
        <v>0</v>
      </c>
      <c r="X43" s="35"/>
      <c r="Y43" s="35">
        <v>0</v>
      </c>
      <c r="Z43" s="35"/>
      <c r="AA43" s="35">
        <v>187.76</v>
      </c>
      <c r="AB43" s="35"/>
      <c r="AC43" s="35">
        <v>0</v>
      </c>
      <c r="AD43" s="35"/>
      <c r="AE43" s="35">
        <v>0</v>
      </c>
      <c r="AF43" s="35"/>
      <c r="AG43" s="35">
        <v>0</v>
      </c>
      <c r="AH43" s="35"/>
      <c r="AI43" s="35">
        <v>0</v>
      </c>
      <c r="AJ43" s="35"/>
      <c r="AK43" s="35">
        <f t="shared" ref="AK43:AK72" si="13">Q43+S43+U43+W43+Y43+AA43+AC43+AE43+AI43+AG43</f>
        <v>115168.86</v>
      </c>
      <c r="AL43" s="35"/>
      <c r="AM43" s="35">
        <v>19050.82</v>
      </c>
      <c r="AN43" s="35"/>
      <c r="AO43" s="35">
        <v>250196.47</v>
      </c>
      <c r="AP43" s="35"/>
      <c r="AQ43" s="35">
        <v>269247.28999999998</v>
      </c>
      <c r="AS43" s="39">
        <f t="shared" ref="AS43:AS72" si="14">+M43-O43</f>
        <v>0</v>
      </c>
      <c r="AT43" s="39"/>
      <c r="AU43" s="39">
        <f t="shared" ref="AU43:AU72" si="15">+Q43+S43+U43+W43+Y43+AA43+AC43+AE43+AI43-AK43+AG43</f>
        <v>0</v>
      </c>
      <c r="AV43" s="39"/>
      <c r="AW43" s="39">
        <f t="shared" ref="AW43:AW72" si="16">+O43+AK43-AM43</f>
        <v>0</v>
      </c>
      <c r="AX43" s="39"/>
      <c r="AY43" s="39">
        <f t="shared" ref="AY43:AY72" si="17">+O43+AK43+AO43-AQ43</f>
        <v>0</v>
      </c>
    </row>
    <row r="44" spans="1:51" s="7" customFormat="1" ht="12" x14ac:dyDescent="0.2">
      <c r="A44" s="7" t="s">
        <v>450</v>
      </c>
      <c r="C44" s="7" t="s">
        <v>776</v>
      </c>
      <c r="E44" s="35">
        <v>2475732</v>
      </c>
      <c r="F44" s="35"/>
      <c r="G44" s="35">
        <v>351833</v>
      </c>
      <c r="H44" s="35"/>
      <c r="I44" s="35">
        <v>159746</v>
      </c>
      <c r="J44" s="35"/>
      <c r="K44" s="35">
        <v>450116</v>
      </c>
      <c r="L44" s="35"/>
      <c r="M44" s="35">
        <f t="shared" si="11"/>
        <v>-1514037</v>
      </c>
      <c r="N44" s="35"/>
      <c r="O44" s="35">
        <f t="shared" si="12"/>
        <v>-1514037</v>
      </c>
      <c r="P44" s="35"/>
      <c r="Q44" s="35">
        <f>238595+16062</f>
        <v>254657</v>
      </c>
      <c r="R44" s="35"/>
      <c r="S44" s="35">
        <f>807644+403761</f>
        <v>1211405</v>
      </c>
      <c r="T44" s="35"/>
      <c r="U44" s="35">
        <v>125384</v>
      </c>
      <c r="V44" s="35"/>
      <c r="W44" s="35">
        <v>32719</v>
      </c>
      <c r="X44" s="35"/>
      <c r="Y44" s="35">
        <v>0</v>
      </c>
      <c r="Z44" s="35"/>
      <c r="AA44" s="35">
        <f>59498</f>
        <v>59498</v>
      </c>
      <c r="AB44" s="35"/>
      <c r="AC44" s="35">
        <v>0</v>
      </c>
      <c r="AD44" s="35"/>
      <c r="AE44" s="35">
        <v>0</v>
      </c>
      <c r="AF44" s="35"/>
      <c r="AG44" s="35">
        <v>0</v>
      </c>
      <c r="AH44" s="35"/>
      <c r="AI44" s="35">
        <v>0</v>
      </c>
      <c r="AJ44" s="35"/>
      <c r="AK44" s="35">
        <f t="shared" si="13"/>
        <v>1683663</v>
      </c>
      <c r="AL44" s="35"/>
      <c r="AM44" s="35">
        <v>169626</v>
      </c>
      <c r="AN44" s="35"/>
      <c r="AO44" s="35">
        <v>2278113</v>
      </c>
      <c r="AP44" s="35"/>
      <c r="AQ44" s="35">
        <v>2447739</v>
      </c>
      <c r="AS44" s="39">
        <f t="shared" si="14"/>
        <v>0</v>
      </c>
      <c r="AT44" s="39"/>
      <c r="AU44" s="39">
        <f t="shared" si="15"/>
        <v>0</v>
      </c>
      <c r="AV44" s="39"/>
      <c r="AW44" s="39">
        <f t="shared" si="16"/>
        <v>0</v>
      </c>
      <c r="AX44" s="39"/>
      <c r="AY44" s="39">
        <f t="shared" si="17"/>
        <v>0</v>
      </c>
    </row>
    <row r="45" spans="1:51" s="7" customFormat="1" ht="12" x14ac:dyDescent="0.2">
      <c r="A45" s="7" t="s">
        <v>148</v>
      </c>
      <c r="C45" s="7" t="s">
        <v>780</v>
      </c>
      <c r="E45" s="35">
        <v>73744.490000000005</v>
      </c>
      <c r="F45" s="35"/>
      <c r="G45" s="35">
        <v>5631.74</v>
      </c>
      <c r="H45" s="35"/>
      <c r="I45" s="35">
        <v>13641.53</v>
      </c>
      <c r="J45" s="35"/>
      <c r="K45" s="35">
        <v>0</v>
      </c>
      <c r="L45" s="35"/>
      <c r="M45" s="35">
        <f t="shared" si="11"/>
        <v>-54471.22</v>
      </c>
      <c r="N45" s="35"/>
      <c r="O45" s="35">
        <f t="shared" si="12"/>
        <v>-54471.22</v>
      </c>
      <c r="P45" s="35"/>
      <c r="Q45" s="35">
        <v>28030.03</v>
      </c>
      <c r="R45" s="35"/>
      <c r="S45" s="35">
        <v>0</v>
      </c>
      <c r="T45" s="35"/>
      <c r="U45" s="35">
        <v>10197.42</v>
      </c>
      <c r="V45" s="35"/>
      <c r="W45" s="35">
        <v>0</v>
      </c>
      <c r="X45" s="35"/>
      <c r="Y45" s="35">
        <v>0</v>
      </c>
      <c r="Z45" s="35"/>
      <c r="AA45" s="35">
        <v>123</v>
      </c>
      <c r="AB45" s="35"/>
      <c r="AC45" s="35">
        <v>0</v>
      </c>
      <c r="AD45" s="35"/>
      <c r="AE45" s="35">
        <v>0</v>
      </c>
      <c r="AF45" s="35"/>
      <c r="AG45" s="35">
        <v>0</v>
      </c>
      <c r="AH45" s="35"/>
      <c r="AI45" s="35">
        <v>0</v>
      </c>
      <c r="AJ45" s="35"/>
      <c r="AK45" s="35">
        <f t="shared" si="13"/>
        <v>38350.449999999997</v>
      </c>
      <c r="AL45" s="35"/>
      <c r="AM45" s="35">
        <v>-16120.77</v>
      </c>
      <c r="AN45" s="35"/>
      <c r="AO45" s="35">
        <v>68780.06</v>
      </c>
      <c r="AP45" s="35"/>
      <c r="AQ45" s="35">
        <v>52659.29</v>
      </c>
      <c r="AS45" s="39">
        <f t="shared" si="14"/>
        <v>0</v>
      </c>
      <c r="AT45" s="39"/>
      <c r="AU45" s="39">
        <f t="shared" si="15"/>
        <v>0</v>
      </c>
      <c r="AV45" s="39"/>
      <c r="AW45" s="39">
        <f t="shared" si="16"/>
        <v>0</v>
      </c>
      <c r="AX45" s="39"/>
      <c r="AY45" s="39">
        <f t="shared" si="17"/>
        <v>0</v>
      </c>
    </row>
    <row r="46" spans="1:51" s="7" customFormat="1" ht="12" x14ac:dyDescent="0.2">
      <c r="A46" s="7" t="s">
        <v>264</v>
      </c>
      <c r="C46" s="7" t="s">
        <v>609</v>
      </c>
      <c r="E46" s="35">
        <v>48548.61</v>
      </c>
      <c r="F46" s="35"/>
      <c r="G46" s="35">
        <v>1773.55</v>
      </c>
      <c r="H46" s="35"/>
      <c r="I46" s="35">
        <v>8741.2099999999991</v>
      </c>
      <c r="J46" s="35"/>
      <c r="K46" s="35">
        <v>0</v>
      </c>
      <c r="L46" s="35"/>
      <c r="M46" s="35">
        <f t="shared" si="11"/>
        <v>-38033.850000000006</v>
      </c>
      <c r="N46" s="35"/>
      <c r="O46" s="35">
        <f t="shared" si="12"/>
        <v>-38033.85</v>
      </c>
      <c r="P46" s="35"/>
      <c r="Q46" s="35">
        <v>17315.93</v>
      </c>
      <c r="R46" s="35"/>
      <c r="S46" s="35">
        <v>0</v>
      </c>
      <c r="T46" s="35"/>
      <c r="U46" s="35">
        <v>3241.06</v>
      </c>
      <c r="V46" s="35"/>
      <c r="W46" s="35">
        <v>0</v>
      </c>
      <c r="X46" s="35"/>
      <c r="Y46" s="35">
        <v>0</v>
      </c>
      <c r="Z46" s="35"/>
      <c r="AA46" s="35">
        <v>4310.08</v>
      </c>
      <c r="AB46" s="35"/>
      <c r="AC46" s="35">
        <v>0</v>
      </c>
      <c r="AD46" s="35"/>
      <c r="AE46" s="35">
        <v>0</v>
      </c>
      <c r="AF46" s="35"/>
      <c r="AG46" s="35">
        <v>0</v>
      </c>
      <c r="AH46" s="35"/>
      <c r="AI46" s="35">
        <v>0</v>
      </c>
      <c r="AJ46" s="35"/>
      <c r="AK46" s="35">
        <f t="shared" si="13"/>
        <v>24867.07</v>
      </c>
      <c r="AL46" s="35"/>
      <c r="AM46" s="35">
        <v>-13166.78</v>
      </c>
      <c r="AN46" s="35"/>
      <c r="AO46" s="35">
        <v>51133.57</v>
      </c>
      <c r="AP46" s="35"/>
      <c r="AQ46" s="35">
        <v>37966.79</v>
      </c>
      <c r="AS46" s="39">
        <f t="shared" si="14"/>
        <v>0</v>
      </c>
      <c r="AT46" s="39"/>
      <c r="AU46" s="39">
        <f t="shared" si="15"/>
        <v>0</v>
      </c>
      <c r="AV46" s="39"/>
      <c r="AW46" s="39">
        <f t="shared" si="16"/>
        <v>0</v>
      </c>
      <c r="AX46" s="39"/>
      <c r="AY46" s="39">
        <f t="shared" si="17"/>
        <v>0</v>
      </c>
    </row>
    <row r="47" spans="1:51" s="7" customFormat="1" ht="12" x14ac:dyDescent="0.2">
      <c r="A47" s="7" t="s">
        <v>4</v>
      </c>
      <c r="C47" s="7" t="s">
        <v>703</v>
      </c>
      <c r="E47" s="35">
        <v>59996.959999999999</v>
      </c>
      <c r="F47" s="35"/>
      <c r="G47" s="35">
        <v>85</v>
      </c>
      <c r="H47" s="35"/>
      <c r="I47" s="35">
        <v>21668.51</v>
      </c>
      <c r="J47" s="35"/>
      <c r="K47" s="35">
        <v>0</v>
      </c>
      <c r="L47" s="35"/>
      <c r="M47" s="35">
        <f t="shared" si="11"/>
        <v>-38243.449999999997</v>
      </c>
      <c r="N47" s="35"/>
      <c r="O47" s="35">
        <f t="shared" si="12"/>
        <v>-38243.449999999997</v>
      </c>
      <c r="P47" s="35"/>
      <c r="Q47" s="35">
        <v>31207.61</v>
      </c>
      <c r="R47" s="35"/>
      <c r="S47" s="35">
        <v>16361.37</v>
      </c>
      <c r="T47" s="35"/>
      <c r="U47" s="35">
        <v>12863.22</v>
      </c>
      <c r="V47" s="35"/>
      <c r="W47" s="35">
        <v>0</v>
      </c>
      <c r="X47" s="35"/>
      <c r="Y47" s="35">
        <v>0</v>
      </c>
      <c r="Z47" s="35"/>
      <c r="AA47" s="35">
        <v>1441.12</v>
      </c>
      <c r="AB47" s="35"/>
      <c r="AC47" s="35">
        <v>0</v>
      </c>
      <c r="AD47" s="35"/>
      <c r="AE47" s="35">
        <v>0</v>
      </c>
      <c r="AF47" s="35"/>
      <c r="AG47" s="35">
        <v>0</v>
      </c>
      <c r="AH47" s="35"/>
      <c r="AI47" s="35">
        <v>0</v>
      </c>
      <c r="AJ47" s="35"/>
      <c r="AK47" s="35">
        <f t="shared" si="13"/>
        <v>61873.320000000007</v>
      </c>
      <c r="AL47" s="35"/>
      <c r="AM47" s="35">
        <v>23629.87</v>
      </c>
      <c r="AN47" s="35"/>
      <c r="AO47" s="35">
        <v>3828.38</v>
      </c>
      <c r="AP47" s="35"/>
      <c r="AQ47" s="35">
        <v>27458.25</v>
      </c>
      <c r="AS47" s="39">
        <f t="shared" si="14"/>
        <v>0</v>
      </c>
      <c r="AT47" s="39"/>
      <c r="AU47" s="39">
        <f t="shared" si="15"/>
        <v>0</v>
      </c>
      <c r="AV47" s="39"/>
      <c r="AW47" s="39">
        <f t="shared" si="16"/>
        <v>0</v>
      </c>
      <c r="AX47" s="39"/>
      <c r="AY47" s="39">
        <f t="shared" si="17"/>
        <v>0</v>
      </c>
    </row>
    <row r="48" spans="1:51" s="7" customFormat="1" ht="12" x14ac:dyDescent="0.2">
      <c r="A48" s="7" t="s">
        <v>580</v>
      </c>
      <c r="C48" s="7" t="s">
        <v>581</v>
      </c>
      <c r="E48" s="35">
        <v>294929.65000000002</v>
      </c>
      <c r="F48" s="35"/>
      <c r="G48" s="35">
        <v>158046.28</v>
      </c>
      <c r="H48" s="35"/>
      <c r="I48" s="35">
        <v>30384.29</v>
      </c>
      <c r="J48" s="35"/>
      <c r="K48" s="35">
        <v>0</v>
      </c>
      <c r="L48" s="35"/>
      <c r="M48" s="35">
        <f t="shared" si="11"/>
        <v>-106499.08000000002</v>
      </c>
      <c r="N48" s="35"/>
      <c r="O48" s="35">
        <f t="shared" si="12"/>
        <v>-106499.08000000002</v>
      </c>
      <c r="P48" s="35"/>
      <c r="Q48" s="35">
        <v>114166.09</v>
      </c>
      <c r="R48" s="35"/>
      <c r="S48" s="35">
        <v>0</v>
      </c>
      <c r="T48" s="35"/>
      <c r="U48" s="35">
        <v>19944.27</v>
      </c>
      <c r="V48" s="35"/>
      <c r="W48" s="35">
        <v>299.39</v>
      </c>
      <c r="X48" s="35"/>
      <c r="Y48" s="35">
        <v>0</v>
      </c>
      <c r="Z48" s="35"/>
      <c r="AA48" s="35">
        <v>2052.4299999999998</v>
      </c>
      <c r="AB48" s="35"/>
      <c r="AC48" s="35">
        <v>0</v>
      </c>
      <c r="AD48" s="35"/>
      <c r="AE48" s="35">
        <v>0</v>
      </c>
      <c r="AF48" s="35"/>
      <c r="AG48" s="35">
        <v>3770</v>
      </c>
      <c r="AH48" s="35"/>
      <c r="AI48" s="35">
        <v>0</v>
      </c>
      <c r="AJ48" s="35"/>
      <c r="AK48" s="35">
        <f t="shared" si="13"/>
        <v>140232.18</v>
      </c>
      <c r="AL48" s="35"/>
      <c r="AM48" s="35">
        <v>33733.1</v>
      </c>
      <c r="AN48" s="35"/>
      <c r="AO48" s="35">
        <v>188885.94</v>
      </c>
      <c r="AP48" s="35"/>
      <c r="AQ48" s="35">
        <v>222619.04</v>
      </c>
      <c r="AS48" s="39">
        <f t="shared" si="14"/>
        <v>0</v>
      </c>
      <c r="AT48" s="39"/>
      <c r="AU48" s="39">
        <f t="shared" si="15"/>
        <v>0</v>
      </c>
      <c r="AV48" s="39"/>
      <c r="AW48" s="39">
        <f t="shared" si="16"/>
        <v>0</v>
      </c>
      <c r="AX48" s="39"/>
      <c r="AY48" s="39">
        <f t="shared" si="17"/>
        <v>0</v>
      </c>
    </row>
    <row r="49" spans="1:51" s="7" customFormat="1" ht="12" x14ac:dyDescent="0.2">
      <c r="A49" s="7" t="s">
        <v>183</v>
      </c>
      <c r="C49" s="7" t="s">
        <v>496</v>
      </c>
      <c r="E49" s="35">
        <v>49425.38</v>
      </c>
      <c r="F49" s="35"/>
      <c r="G49" s="35">
        <v>0</v>
      </c>
      <c r="H49" s="35"/>
      <c r="I49" s="35">
        <v>12654.12</v>
      </c>
      <c r="J49" s="35"/>
      <c r="K49" s="35">
        <v>0</v>
      </c>
      <c r="L49" s="35"/>
      <c r="M49" s="35">
        <f t="shared" si="11"/>
        <v>-36771.259999999995</v>
      </c>
      <c r="N49" s="35"/>
      <c r="O49" s="35">
        <f t="shared" si="12"/>
        <v>-36771.259999999995</v>
      </c>
      <c r="P49" s="35"/>
      <c r="Q49" s="35">
        <v>12476.95</v>
      </c>
      <c r="R49" s="35"/>
      <c r="S49" s="35">
        <v>0</v>
      </c>
      <c r="T49" s="35"/>
      <c r="U49" s="35">
        <v>14848.01</v>
      </c>
      <c r="V49" s="35"/>
      <c r="W49" s="35">
        <v>146.87</v>
      </c>
      <c r="X49" s="35"/>
      <c r="Y49" s="35">
        <v>0</v>
      </c>
      <c r="Z49" s="35"/>
      <c r="AA49" s="35">
        <v>0</v>
      </c>
      <c r="AB49" s="35"/>
      <c r="AC49" s="35">
        <v>0</v>
      </c>
      <c r="AD49" s="35"/>
      <c r="AE49" s="35">
        <v>0</v>
      </c>
      <c r="AF49" s="35"/>
      <c r="AG49" s="35">
        <v>0</v>
      </c>
      <c r="AH49" s="35"/>
      <c r="AI49" s="35">
        <v>0</v>
      </c>
      <c r="AJ49" s="35"/>
      <c r="AK49" s="35">
        <f t="shared" si="13"/>
        <v>27471.829999999998</v>
      </c>
      <c r="AL49" s="35"/>
      <c r="AM49" s="35">
        <v>-9299.43</v>
      </c>
      <c r="AN49" s="35"/>
      <c r="AO49" s="35">
        <v>216605.08</v>
      </c>
      <c r="AP49" s="35"/>
      <c r="AQ49" s="35">
        <v>207305.65</v>
      </c>
      <c r="AS49" s="39">
        <f t="shared" si="14"/>
        <v>0</v>
      </c>
      <c r="AT49" s="39"/>
      <c r="AU49" s="39">
        <f t="shared" si="15"/>
        <v>0</v>
      </c>
      <c r="AV49" s="39"/>
      <c r="AW49" s="39">
        <f t="shared" si="16"/>
        <v>0</v>
      </c>
      <c r="AX49" s="39"/>
      <c r="AY49" s="39">
        <f t="shared" si="17"/>
        <v>0</v>
      </c>
    </row>
    <row r="50" spans="1:51" s="7" customFormat="1" ht="12" x14ac:dyDescent="0.2">
      <c r="A50" s="7" t="s">
        <v>225</v>
      </c>
      <c r="C50" s="7" t="s">
        <v>804</v>
      </c>
      <c r="E50" s="35">
        <v>517744.3</v>
      </c>
      <c r="F50" s="35"/>
      <c r="G50" s="35">
        <v>17845</v>
      </c>
      <c r="H50" s="35"/>
      <c r="I50" s="35">
        <v>70597.3</v>
      </c>
      <c r="J50" s="35"/>
      <c r="K50" s="35">
        <v>0</v>
      </c>
      <c r="L50" s="35"/>
      <c r="M50" s="35">
        <f t="shared" si="11"/>
        <v>-429302</v>
      </c>
      <c r="N50" s="35"/>
      <c r="O50" s="35">
        <f t="shared" si="12"/>
        <v>-429302</v>
      </c>
      <c r="P50" s="35"/>
      <c r="Q50" s="35">
        <v>243341.97</v>
      </c>
      <c r="R50" s="35"/>
      <c r="S50" s="35">
        <v>0</v>
      </c>
      <c r="T50" s="35"/>
      <c r="U50" s="35">
        <v>9702.69</v>
      </c>
      <c r="V50" s="35"/>
      <c r="W50" s="35">
        <v>0</v>
      </c>
      <c r="X50" s="35"/>
      <c r="Y50" s="35">
        <v>0</v>
      </c>
      <c r="Z50" s="35"/>
      <c r="AA50" s="35">
        <v>12806.77</v>
      </c>
      <c r="AB50" s="35"/>
      <c r="AC50" s="35">
        <v>0</v>
      </c>
      <c r="AD50" s="35"/>
      <c r="AE50" s="35">
        <v>0</v>
      </c>
      <c r="AF50" s="35"/>
      <c r="AG50" s="35">
        <v>0</v>
      </c>
      <c r="AH50" s="35"/>
      <c r="AI50" s="35">
        <v>0</v>
      </c>
      <c r="AJ50" s="35"/>
      <c r="AK50" s="35">
        <f t="shared" si="13"/>
        <v>265851.43</v>
      </c>
      <c r="AL50" s="35"/>
      <c r="AM50" s="35">
        <v>-163450.57</v>
      </c>
      <c r="AN50" s="35"/>
      <c r="AO50" s="35">
        <v>1990594.65</v>
      </c>
      <c r="AP50" s="35"/>
      <c r="AQ50" s="35">
        <v>1827144.08</v>
      </c>
      <c r="AS50" s="39">
        <f t="shared" si="14"/>
        <v>0</v>
      </c>
      <c r="AT50" s="39"/>
      <c r="AU50" s="39">
        <f t="shared" si="15"/>
        <v>0</v>
      </c>
      <c r="AV50" s="39"/>
      <c r="AW50" s="39">
        <f t="shared" si="16"/>
        <v>0</v>
      </c>
      <c r="AX50" s="39"/>
      <c r="AY50" s="39">
        <f t="shared" si="17"/>
        <v>0</v>
      </c>
    </row>
    <row r="51" spans="1:51" s="7" customFormat="1" ht="12" x14ac:dyDescent="0.2">
      <c r="A51" s="7" t="s">
        <v>267</v>
      </c>
      <c r="C51" s="7" t="s">
        <v>812</v>
      </c>
      <c r="E51" s="35">
        <v>361062.11</v>
      </c>
      <c r="F51" s="35"/>
      <c r="G51" s="35">
        <v>600</v>
      </c>
      <c r="H51" s="35"/>
      <c r="I51" s="35">
        <v>5717.92</v>
      </c>
      <c r="J51" s="35"/>
      <c r="K51" s="35">
        <v>0</v>
      </c>
      <c r="L51" s="35"/>
      <c r="M51" s="35">
        <f t="shared" si="11"/>
        <v>-354744.19</v>
      </c>
      <c r="N51" s="35"/>
      <c r="O51" s="35">
        <f t="shared" si="12"/>
        <v>-354744.19</v>
      </c>
      <c r="P51" s="35"/>
      <c r="Q51" s="35">
        <v>396629.68</v>
      </c>
      <c r="R51" s="35"/>
      <c r="S51" s="35">
        <v>0</v>
      </c>
      <c r="T51" s="35"/>
      <c r="U51" s="35">
        <v>19097.490000000002</v>
      </c>
      <c r="V51" s="35"/>
      <c r="W51" s="35">
        <v>3720.36</v>
      </c>
      <c r="X51" s="35"/>
      <c r="Y51" s="35">
        <v>0</v>
      </c>
      <c r="Z51" s="35"/>
      <c r="AA51" s="35">
        <v>92745.98</v>
      </c>
      <c r="AB51" s="35"/>
      <c r="AC51" s="35">
        <v>0</v>
      </c>
      <c r="AD51" s="35"/>
      <c r="AE51" s="35">
        <v>0</v>
      </c>
      <c r="AF51" s="35"/>
      <c r="AG51" s="35">
        <v>0</v>
      </c>
      <c r="AH51" s="35"/>
      <c r="AI51" s="35">
        <v>0</v>
      </c>
      <c r="AJ51" s="35"/>
      <c r="AK51" s="35">
        <f t="shared" si="13"/>
        <v>512193.50999999995</v>
      </c>
      <c r="AL51" s="35"/>
      <c r="AM51" s="35">
        <v>157449.32</v>
      </c>
      <c r="AN51" s="35"/>
      <c r="AO51" s="35">
        <v>1266217.6000000001</v>
      </c>
      <c r="AP51" s="35"/>
      <c r="AQ51" s="35">
        <v>1423666.92</v>
      </c>
      <c r="AS51" s="39">
        <f t="shared" si="14"/>
        <v>0</v>
      </c>
      <c r="AT51" s="39"/>
      <c r="AU51" s="39">
        <f t="shared" si="15"/>
        <v>0</v>
      </c>
      <c r="AV51" s="39"/>
      <c r="AW51" s="39">
        <f t="shared" si="16"/>
        <v>0</v>
      </c>
      <c r="AX51" s="39"/>
      <c r="AY51" s="39">
        <f t="shared" si="17"/>
        <v>0</v>
      </c>
    </row>
    <row r="52" spans="1:51" s="7" customFormat="1" ht="12" x14ac:dyDescent="0.2">
      <c r="A52" s="7" t="s">
        <v>413</v>
      </c>
      <c r="C52" s="7" t="s">
        <v>412</v>
      </c>
      <c r="E52" s="35">
        <v>85315.51</v>
      </c>
      <c r="F52" s="35"/>
      <c r="G52" s="35">
        <v>30</v>
      </c>
      <c r="H52" s="35"/>
      <c r="I52" s="35">
        <v>22373.43</v>
      </c>
      <c r="J52" s="35"/>
      <c r="K52" s="35">
        <v>1300</v>
      </c>
      <c r="L52" s="35"/>
      <c r="M52" s="35">
        <f t="shared" si="11"/>
        <v>-61612.079999999994</v>
      </c>
      <c r="N52" s="35"/>
      <c r="O52" s="35">
        <f t="shared" si="12"/>
        <v>-61612.079999999994</v>
      </c>
      <c r="P52" s="35"/>
      <c r="Q52" s="35">
        <v>23375.919999999998</v>
      </c>
      <c r="R52" s="35"/>
      <c r="S52" s="35">
        <v>0</v>
      </c>
      <c r="T52" s="35"/>
      <c r="U52" s="35">
        <v>18099.91</v>
      </c>
      <c r="V52" s="35"/>
      <c r="W52" s="35">
        <v>75.98</v>
      </c>
      <c r="X52" s="35"/>
      <c r="Y52" s="35">
        <v>0</v>
      </c>
      <c r="Z52" s="35"/>
      <c r="AA52" s="35">
        <v>1944.29</v>
      </c>
      <c r="AB52" s="35"/>
      <c r="AC52" s="35">
        <v>0</v>
      </c>
      <c r="AD52" s="35"/>
      <c r="AE52" s="35">
        <v>-366</v>
      </c>
      <c r="AF52" s="35"/>
      <c r="AG52" s="35">
        <v>0</v>
      </c>
      <c r="AH52" s="35"/>
      <c r="AI52" s="35">
        <v>0</v>
      </c>
      <c r="AJ52" s="35"/>
      <c r="AK52" s="35">
        <f t="shared" si="13"/>
        <v>43130.100000000006</v>
      </c>
      <c r="AL52" s="35"/>
      <c r="AM52" s="35">
        <v>-18481.98</v>
      </c>
      <c r="AN52" s="35"/>
      <c r="AO52" s="35">
        <v>94331.86</v>
      </c>
      <c r="AP52" s="35"/>
      <c r="AQ52" s="35">
        <v>75849.88</v>
      </c>
      <c r="AS52" s="39">
        <f t="shared" si="14"/>
        <v>0</v>
      </c>
      <c r="AT52" s="39"/>
      <c r="AU52" s="39">
        <f t="shared" si="15"/>
        <v>0</v>
      </c>
      <c r="AV52" s="39"/>
      <c r="AW52" s="39">
        <f t="shared" si="16"/>
        <v>0</v>
      </c>
      <c r="AX52" s="39"/>
      <c r="AY52" s="39">
        <f t="shared" si="17"/>
        <v>0</v>
      </c>
    </row>
    <row r="53" spans="1:51" s="7" customFormat="1" ht="12" x14ac:dyDescent="0.2">
      <c r="A53" s="7" t="s">
        <v>133</v>
      </c>
      <c r="C53" s="7" t="s">
        <v>775</v>
      </c>
      <c r="E53" s="35">
        <v>175461.47</v>
      </c>
      <c r="F53" s="35"/>
      <c r="G53" s="35">
        <v>58235.44</v>
      </c>
      <c r="H53" s="35"/>
      <c r="I53" s="35">
        <v>22552.51</v>
      </c>
      <c r="J53" s="35"/>
      <c r="K53" s="35">
        <v>0</v>
      </c>
      <c r="L53" s="35"/>
      <c r="M53" s="35">
        <f t="shared" si="11"/>
        <v>-94673.52</v>
      </c>
      <c r="N53" s="35"/>
      <c r="O53" s="35">
        <f t="shared" si="12"/>
        <v>-94673.52</v>
      </c>
      <c r="P53" s="35"/>
      <c r="Q53" s="35">
        <v>11434.76</v>
      </c>
      <c r="R53" s="35"/>
      <c r="S53" s="35">
        <v>62027.88</v>
      </c>
      <c r="T53" s="35"/>
      <c r="U53" s="35">
        <v>15490.2</v>
      </c>
      <c r="V53" s="35"/>
      <c r="W53" s="35">
        <v>202.11</v>
      </c>
      <c r="X53" s="35"/>
      <c r="Y53" s="35">
        <v>1955.21</v>
      </c>
      <c r="Z53" s="35"/>
      <c r="AA53" s="35">
        <v>2583.9899999999998</v>
      </c>
      <c r="AB53" s="35"/>
      <c r="AC53" s="35">
        <v>0</v>
      </c>
      <c r="AD53" s="35"/>
      <c r="AE53" s="35">
        <v>0</v>
      </c>
      <c r="AF53" s="35"/>
      <c r="AG53" s="35">
        <v>0</v>
      </c>
      <c r="AH53" s="35"/>
      <c r="AI53" s="35">
        <v>0</v>
      </c>
      <c r="AJ53" s="35"/>
      <c r="AK53" s="35">
        <f t="shared" si="13"/>
        <v>93694.150000000009</v>
      </c>
      <c r="AL53" s="35"/>
      <c r="AM53" s="35">
        <v>-979.37</v>
      </c>
      <c r="AN53" s="35"/>
      <c r="AO53" s="35">
        <v>458008.9</v>
      </c>
      <c r="AP53" s="35"/>
      <c r="AQ53" s="35">
        <v>457029.53</v>
      </c>
      <c r="AS53" s="39">
        <f t="shared" si="14"/>
        <v>0</v>
      </c>
      <c r="AT53" s="39"/>
      <c r="AU53" s="39">
        <f t="shared" si="15"/>
        <v>0</v>
      </c>
      <c r="AV53" s="39"/>
      <c r="AW53" s="39">
        <f t="shared" si="16"/>
        <v>4.6611603465862572E-12</v>
      </c>
      <c r="AX53" s="39"/>
      <c r="AY53" s="39">
        <f t="shared" si="17"/>
        <v>0</v>
      </c>
    </row>
    <row r="54" spans="1:51" s="7" customFormat="1" ht="12" x14ac:dyDescent="0.2">
      <c r="A54" s="7" t="s">
        <v>84</v>
      </c>
      <c r="C54" s="7" t="s">
        <v>371</v>
      </c>
      <c r="E54" s="35">
        <v>752988.54</v>
      </c>
      <c r="F54" s="35"/>
      <c r="G54" s="35">
        <v>18917.34</v>
      </c>
      <c r="H54" s="35"/>
      <c r="I54" s="35">
        <v>141622.42000000001</v>
      </c>
      <c r="J54" s="35"/>
      <c r="K54" s="35">
        <v>0</v>
      </c>
      <c r="L54" s="35"/>
      <c r="M54" s="35">
        <f t="shared" si="11"/>
        <v>-592448.78</v>
      </c>
      <c r="N54" s="35"/>
      <c r="O54" s="35">
        <f t="shared" si="12"/>
        <v>-592448.78</v>
      </c>
      <c r="P54" s="35"/>
      <c r="Q54" s="35">
        <v>339326.58</v>
      </c>
      <c r="R54" s="35"/>
      <c r="S54" s="35">
        <v>173238.37</v>
      </c>
      <c r="T54" s="35"/>
      <c r="U54" s="35">
        <v>179793.17</v>
      </c>
      <c r="V54" s="35"/>
      <c r="W54" s="35">
        <v>1205.45</v>
      </c>
      <c r="X54" s="35"/>
      <c r="Y54" s="35">
        <v>31653.4</v>
      </c>
      <c r="Z54" s="35"/>
      <c r="AA54" s="35">
        <v>2518.79</v>
      </c>
      <c r="AB54" s="35"/>
      <c r="AC54" s="35">
        <v>0</v>
      </c>
      <c r="AD54" s="35"/>
      <c r="AE54" s="35">
        <v>0</v>
      </c>
      <c r="AF54" s="35"/>
      <c r="AG54" s="35">
        <v>0</v>
      </c>
      <c r="AH54" s="35"/>
      <c r="AI54" s="35">
        <v>0</v>
      </c>
      <c r="AJ54" s="35"/>
      <c r="AK54" s="35">
        <f t="shared" si="13"/>
        <v>727735.76</v>
      </c>
      <c r="AL54" s="35"/>
      <c r="AM54" s="35">
        <v>135286.98000000001</v>
      </c>
      <c r="AN54" s="35"/>
      <c r="AO54" s="35">
        <v>495013.31</v>
      </c>
      <c r="AP54" s="35"/>
      <c r="AQ54" s="35">
        <v>630300.29</v>
      </c>
      <c r="AS54" s="39">
        <f t="shared" si="14"/>
        <v>0</v>
      </c>
      <c r="AT54" s="39"/>
      <c r="AU54" s="39">
        <f t="shared" si="15"/>
        <v>0</v>
      </c>
      <c r="AV54" s="39"/>
      <c r="AW54" s="39">
        <f t="shared" si="16"/>
        <v>0</v>
      </c>
      <c r="AX54" s="39"/>
      <c r="AY54" s="39">
        <f t="shared" si="17"/>
        <v>0</v>
      </c>
    </row>
    <row r="55" spans="1:51" s="7" customFormat="1" ht="12" x14ac:dyDescent="0.2">
      <c r="A55" s="7" t="s">
        <v>420</v>
      </c>
      <c r="C55" s="7" t="s">
        <v>671</v>
      </c>
      <c r="E55" s="35">
        <v>2694867</v>
      </c>
      <c r="F55" s="35"/>
      <c r="G55" s="35">
        <v>221724</v>
      </c>
      <c r="H55" s="35"/>
      <c r="I55" s="35">
        <v>13451</v>
      </c>
      <c r="J55" s="35"/>
      <c r="K55" s="35">
        <v>0</v>
      </c>
      <c r="L55" s="35"/>
      <c r="M55" s="35">
        <f t="shared" si="11"/>
        <v>-2459692</v>
      </c>
      <c r="N55" s="35"/>
      <c r="O55" s="35">
        <f t="shared" si="12"/>
        <v>-2459692</v>
      </c>
      <c r="P55" s="35"/>
      <c r="Q55" s="35">
        <v>1875161</v>
      </c>
      <c r="R55" s="35"/>
      <c r="S55" s="35">
        <v>0</v>
      </c>
      <c r="T55" s="35"/>
      <c r="U55" s="35">
        <v>196800</v>
      </c>
      <c r="V55" s="35"/>
      <c r="W55" s="35">
        <v>1464</v>
      </c>
      <c r="X55" s="35"/>
      <c r="Y55" s="35">
        <v>0</v>
      </c>
      <c r="Z55" s="35"/>
      <c r="AA55" s="35">
        <f>118414+142595+188+42975+11844+4045-323</f>
        <v>319738</v>
      </c>
      <c r="AB55" s="35"/>
      <c r="AC55" s="35">
        <v>0</v>
      </c>
      <c r="AD55" s="35"/>
      <c r="AE55" s="35">
        <f>45015-10000-13000-45000</f>
        <v>-22985</v>
      </c>
      <c r="AF55" s="35"/>
      <c r="AG55" s="35">
        <v>0</v>
      </c>
      <c r="AH55" s="35"/>
      <c r="AI55" s="35">
        <v>0</v>
      </c>
      <c r="AJ55" s="35"/>
      <c r="AK55" s="35">
        <f t="shared" si="13"/>
        <v>2370178</v>
      </c>
      <c r="AL55" s="35"/>
      <c r="AM55" s="35">
        <v>-89514</v>
      </c>
      <c r="AN55" s="35"/>
      <c r="AO55" s="35">
        <f>1527795+89514</f>
        <v>1617309</v>
      </c>
      <c r="AP55" s="35"/>
      <c r="AQ55" s="35">
        <v>1527795</v>
      </c>
      <c r="AS55" s="39">
        <f t="shared" si="14"/>
        <v>0</v>
      </c>
      <c r="AT55" s="39"/>
      <c r="AU55" s="39">
        <f t="shared" si="15"/>
        <v>0</v>
      </c>
      <c r="AV55" s="39"/>
      <c r="AW55" s="39">
        <f t="shared" si="16"/>
        <v>0</v>
      </c>
      <c r="AX55" s="39"/>
      <c r="AY55" s="39">
        <f t="shared" si="17"/>
        <v>0</v>
      </c>
    </row>
    <row r="56" spans="1:51" s="7" customFormat="1" ht="12" x14ac:dyDescent="0.2">
      <c r="A56" s="7" t="s">
        <v>967</v>
      </c>
      <c r="C56" s="7" t="s">
        <v>780</v>
      </c>
      <c r="E56" s="35">
        <v>2269677.7799999998</v>
      </c>
      <c r="F56" s="35"/>
      <c r="G56" s="35">
        <v>29053.51</v>
      </c>
      <c r="H56" s="35"/>
      <c r="I56" s="35">
        <v>33143.339999999997</v>
      </c>
      <c r="J56" s="35"/>
      <c r="K56" s="35">
        <v>0</v>
      </c>
      <c r="L56" s="35"/>
      <c r="M56" s="35">
        <f t="shared" si="11"/>
        <v>-2207480.9299999997</v>
      </c>
      <c r="N56" s="35"/>
      <c r="O56" s="35">
        <f t="shared" si="12"/>
        <v>-2207480.9300000002</v>
      </c>
      <c r="P56" s="35"/>
      <c r="Q56" s="35">
        <v>81982.570000000007</v>
      </c>
      <c r="R56" s="35"/>
      <c r="S56" s="35">
        <v>0</v>
      </c>
      <c r="T56" s="35"/>
      <c r="U56" s="35">
        <v>20189.830000000002</v>
      </c>
      <c r="V56" s="35"/>
      <c r="W56" s="35">
        <v>353.35</v>
      </c>
      <c r="X56" s="35"/>
      <c r="Y56" s="35">
        <v>4963.49</v>
      </c>
      <c r="Z56" s="35"/>
      <c r="AA56" s="35">
        <v>2110705.5</v>
      </c>
      <c r="AB56" s="35"/>
      <c r="AC56" s="35">
        <v>0</v>
      </c>
      <c r="AD56" s="35"/>
      <c r="AE56" s="35">
        <v>0</v>
      </c>
      <c r="AF56" s="35"/>
      <c r="AG56" s="35">
        <v>0</v>
      </c>
      <c r="AH56" s="35"/>
      <c r="AI56" s="35">
        <v>0</v>
      </c>
      <c r="AJ56" s="35"/>
      <c r="AK56" s="35">
        <f t="shared" si="13"/>
        <v>2218194.7400000002</v>
      </c>
      <c r="AL56" s="35"/>
      <c r="AM56" s="35">
        <v>10713.81</v>
      </c>
      <c r="AN56" s="35"/>
      <c r="AO56" s="35">
        <v>19533.72</v>
      </c>
      <c r="AP56" s="35"/>
      <c r="AQ56" s="35">
        <v>30247.53</v>
      </c>
      <c r="AS56" s="39">
        <f t="shared" si="14"/>
        <v>0</v>
      </c>
      <c r="AT56" s="39"/>
      <c r="AU56" s="39">
        <f t="shared" si="15"/>
        <v>0</v>
      </c>
      <c r="AV56" s="39"/>
      <c r="AW56" s="39">
        <f t="shared" si="16"/>
        <v>5.6388671509921551E-11</v>
      </c>
      <c r="AX56" s="39"/>
      <c r="AY56" s="39">
        <f t="shared" si="17"/>
        <v>5.8207660913467407E-11</v>
      </c>
    </row>
    <row r="57" spans="1:51" s="7" customFormat="1" ht="12" x14ac:dyDescent="0.2">
      <c r="A57" s="7" t="s">
        <v>137</v>
      </c>
      <c r="C57" s="7" t="s">
        <v>776</v>
      </c>
      <c r="E57" s="35">
        <v>1327223.8999999999</v>
      </c>
      <c r="F57" s="35"/>
      <c r="G57" s="35">
        <v>199441.32</v>
      </c>
      <c r="H57" s="35"/>
      <c r="I57" s="35">
        <v>118681.09</v>
      </c>
      <c r="J57" s="35"/>
      <c r="K57" s="35">
        <v>4172.72</v>
      </c>
      <c r="L57" s="35"/>
      <c r="M57" s="35">
        <f t="shared" si="11"/>
        <v>-1004928.7699999999</v>
      </c>
      <c r="N57" s="35"/>
      <c r="O57" s="35">
        <f t="shared" si="12"/>
        <v>-1004928.7699999999</v>
      </c>
      <c r="P57" s="35"/>
      <c r="Q57" s="35">
        <v>281659.90000000002</v>
      </c>
      <c r="R57" s="35"/>
      <c r="S57" s="35">
        <v>859158.63</v>
      </c>
      <c r="T57" s="35"/>
      <c r="U57" s="35">
        <v>49325.79</v>
      </c>
      <c r="V57" s="35"/>
      <c r="W57" s="35">
        <v>3870.18</v>
      </c>
      <c r="X57" s="35"/>
      <c r="Y57" s="35">
        <v>9823.36</v>
      </c>
      <c r="Z57" s="35"/>
      <c r="AA57" s="35">
        <v>2670.27</v>
      </c>
      <c r="AB57" s="35"/>
      <c r="AC57" s="35">
        <v>0</v>
      </c>
      <c r="AD57" s="35"/>
      <c r="AE57" s="35">
        <v>-111636.66</v>
      </c>
      <c r="AF57" s="35"/>
      <c r="AG57" s="35">
        <v>0</v>
      </c>
      <c r="AH57" s="35"/>
      <c r="AI57" s="35">
        <v>0</v>
      </c>
      <c r="AJ57" s="35"/>
      <c r="AK57" s="35">
        <f t="shared" si="13"/>
        <v>1094871.4700000002</v>
      </c>
      <c r="AL57" s="35"/>
      <c r="AM57" s="35">
        <v>89942.7</v>
      </c>
      <c r="AN57" s="35"/>
      <c r="AO57" s="35">
        <v>1320524.47</v>
      </c>
      <c r="AP57" s="35"/>
      <c r="AQ57" s="35">
        <v>1410467.17</v>
      </c>
      <c r="AS57" s="39">
        <f t="shared" si="14"/>
        <v>0</v>
      </c>
      <c r="AT57" s="39"/>
      <c r="AU57" s="39">
        <f t="shared" si="15"/>
        <v>0</v>
      </c>
      <c r="AV57" s="39"/>
      <c r="AW57" s="39">
        <f t="shared" si="16"/>
        <v>3.0559021979570389E-10</v>
      </c>
      <c r="AX57" s="39"/>
      <c r="AY57" s="39">
        <f t="shared" si="17"/>
        <v>0</v>
      </c>
    </row>
    <row r="58" spans="1:51" s="7" customFormat="1" ht="12" x14ac:dyDescent="0.2">
      <c r="A58" s="7" t="s">
        <v>817</v>
      </c>
      <c r="C58" s="7" t="s">
        <v>549</v>
      </c>
      <c r="E58" s="35">
        <v>1286044.98</v>
      </c>
      <c r="F58" s="35"/>
      <c r="G58" s="35">
        <v>171326.56</v>
      </c>
      <c r="H58" s="35"/>
      <c r="I58" s="35">
        <v>138111.49</v>
      </c>
      <c r="J58" s="35"/>
      <c r="K58" s="35">
        <v>0</v>
      </c>
      <c r="L58" s="35"/>
      <c r="M58" s="35">
        <f t="shared" si="11"/>
        <v>-976606.92999999993</v>
      </c>
      <c r="N58" s="35"/>
      <c r="O58" s="35">
        <f t="shared" si="12"/>
        <v>-976606.92999999993</v>
      </c>
      <c r="P58" s="35"/>
      <c r="Q58" s="35">
        <v>226152.31</v>
      </c>
      <c r="R58" s="35"/>
      <c r="S58" s="35">
        <v>740478.44</v>
      </c>
      <c r="T58" s="35"/>
      <c r="U58" s="35">
        <v>179878.63</v>
      </c>
      <c r="V58" s="35"/>
      <c r="W58" s="35">
        <v>0</v>
      </c>
      <c r="X58" s="35"/>
      <c r="Y58" s="35">
        <v>37336.559999999998</v>
      </c>
      <c r="Z58" s="35"/>
      <c r="AA58" s="35">
        <v>36538.51</v>
      </c>
      <c r="AB58" s="35"/>
      <c r="AC58" s="35">
        <v>0</v>
      </c>
      <c r="AD58" s="35"/>
      <c r="AE58" s="35">
        <v>-4500</v>
      </c>
      <c r="AF58" s="35"/>
      <c r="AG58" s="35">
        <v>0</v>
      </c>
      <c r="AH58" s="35"/>
      <c r="AI58" s="35">
        <v>0</v>
      </c>
      <c r="AJ58" s="35"/>
      <c r="AK58" s="35">
        <f t="shared" si="13"/>
        <v>1215884.45</v>
      </c>
      <c r="AL58" s="35"/>
      <c r="AM58" s="35">
        <v>239277.52</v>
      </c>
      <c r="AN58" s="35"/>
      <c r="AO58" s="35">
        <v>-860341.53</v>
      </c>
      <c r="AP58" s="35"/>
      <c r="AQ58" s="35">
        <v>-621064.01</v>
      </c>
      <c r="AS58" s="39">
        <f t="shared" si="14"/>
        <v>0</v>
      </c>
      <c r="AT58" s="39"/>
      <c r="AU58" s="39">
        <f t="shared" si="15"/>
        <v>0</v>
      </c>
      <c r="AV58" s="39"/>
      <c r="AW58" s="39">
        <f t="shared" si="16"/>
        <v>0</v>
      </c>
      <c r="AX58" s="39"/>
      <c r="AY58" s="39">
        <f t="shared" si="17"/>
        <v>0</v>
      </c>
    </row>
    <row r="59" spans="1:51" s="7" customFormat="1" ht="12" x14ac:dyDescent="0.2">
      <c r="A59" s="7" t="s">
        <v>111</v>
      </c>
      <c r="C59" s="7" t="s">
        <v>911</v>
      </c>
      <c r="E59" s="35">
        <v>270138.15000000002</v>
      </c>
      <c r="F59" s="35"/>
      <c r="G59" s="35">
        <v>219786.09</v>
      </c>
      <c r="H59" s="35"/>
      <c r="I59" s="35">
        <v>11779.72</v>
      </c>
      <c r="J59" s="35"/>
      <c r="K59" s="35">
        <v>0</v>
      </c>
      <c r="L59" s="35"/>
      <c r="M59" s="35">
        <f t="shared" si="11"/>
        <v>-38572.340000000026</v>
      </c>
      <c r="N59" s="35"/>
      <c r="O59" s="35">
        <f t="shared" si="12"/>
        <v>-38572.340000000026</v>
      </c>
      <c r="P59" s="35"/>
      <c r="Q59" s="35">
        <v>53226.700000000004</v>
      </c>
      <c r="R59" s="35"/>
      <c r="S59" s="35">
        <v>0</v>
      </c>
      <c r="T59" s="35"/>
      <c r="U59" s="35">
        <v>24230.21</v>
      </c>
      <c r="V59" s="35"/>
      <c r="W59" s="35">
        <v>58.88</v>
      </c>
      <c r="X59" s="35"/>
      <c r="Y59" s="35">
        <v>0</v>
      </c>
      <c r="Z59" s="35"/>
      <c r="AA59" s="35">
        <v>22299.42</v>
      </c>
      <c r="AB59" s="35"/>
      <c r="AC59" s="35">
        <v>0</v>
      </c>
      <c r="AD59" s="35"/>
      <c r="AE59" s="35">
        <v>0</v>
      </c>
      <c r="AF59" s="35"/>
      <c r="AG59" s="35">
        <v>0</v>
      </c>
      <c r="AH59" s="35"/>
      <c r="AI59" s="35">
        <v>0</v>
      </c>
      <c r="AJ59" s="35"/>
      <c r="AK59" s="35">
        <f t="shared" si="13"/>
        <v>99815.21</v>
      </c>
      <c r="AL59" s="35"/>
      <c r="AM59" s="35">
        <v>61242.87</v>
      </c>
      <c r="AN59" s="35"/>
      <c r="AO59" s="35">
        <v>173069.27</v>
      </c>
      <c r="AP59" s="35"/>
      <c r="AQ59" s="35">
        <v>234312.14</v>
      </c>
      <c r="AS59" s="39">
        <f t="shared" si="14"/>
        <v>0</v>
      </c>
      <c r="AT59" s="39"/>
      <c r="AU59" s="39">
        <f t="shared" si="15"/>
        <v>0</v>
      </c>
      <c r="AV59" s="39"/>
      <c r="AW59" s="39">
        <f t="shared" si="16"/>
        <v>0</v>
      </c>
      <c r="AX59" s="39"/>
      <c r="AY59" s="39">
        <f t="shared" si="17"/>
        <v>0</v>
      </c>
    </row>
    <row r="60" spans="1:51" s="7" customFormat="1" ht="12" x14ac:dyDescent="0.2">
      <c r="A60" s="7" t="s">
        <v>29</v>
      </c>
      <c r="C60" s="7" t="s">
        <v>62</v>
      </c>
      <c r="E60" s="35">
        <v>30635.07</v>
      </c>
      <c r="F60" s="35"/>
      <c r="G60" s="35">
        <v>0</v>
      </c>
      <c r="H60" s="35"/>
      <c r="I60" s="35">
        <v>8411.84</v>
      </c>
      <c r="J60" s="35"/>
      <c r="K60" s="35">
        <v>0</v>
      </c>
      <c r="L60" s="35"/>
      <c r="M60" s="35">
        <f t="shared" si="11"/>
        <v>-22223.23</v>
      </c>
      <c r="N60" s="35"/>
      <c r="O60" s="35">
        <f t="shared" si="12"/>
        <v>-22223.23</v>
      </c>
      <c r="P60" s="35"/>
      <c r="Q60" s="35">
        <v>12486.27</v>
      </c>
      <c r="R60" s="35"/>
      <c r="S60" s="35">
        <v>0</v>
      </c>
      <c r="T60" s="35"/>
      <c r="U60" s="35">
        <v>16962.12</v>
      </c>
      <c r="V60" s="35"/>
      <c r="W60" s="35">
        <v>99.51</v>
      </c>
      <c r="X60" s="35"/>
      <c r="Y60" s="35">
        <v>0</v>
      </c>
      <c r="Z60" s="35"/>
      <c r="AA60" s="35">
        <v>0</v>
      </c>
      <c r="AB60" s="35"/>
      <c r="AC60" s="35">
        <v>0</v>
      </c>
      <c r="AD60" s="35"/>
      <c r="AE60" s="35">
        <v>0</v>
      </c>
      <c r="AF60" s="35"/>
      <c r="AG60" s="35">
        <v>0</v>
      </c>
      <c r="AH60" s="35"/>
      <c r="AI60" s="35">
        <v>0</v>
      </c>
      <c r="AJ60" s="35"/>
      <c r="AK60" s="35">
        <f t="shared" si="13"/>
        <v>29547.899999999998</v>
      </c>
      <c r="AL60" s="35"/>
      <c r="AM60" s="35">
        <v>7324.67</v>
      </c>
      <c r="AN60" s="35"/>
      <c r="AO60" s="35">
        <v>65479.72</v>
      </c>
      <c r="AP60" s="35"/>
      <c r="AQ60" s="35">
        <v>72804.39</v>
      </c>
      <c r="AS60" s="39">
        <f t="shared" si="14"/>
        <v>0</v>
      </c>
      <c r="AT60" s="39"/>
      <c r="AU60" s="39">
        <f t="shared" si="15"/>
        <v>0</v>
      </c>
      <c r="AV60" s="39"/>
      <c r="AW60" s="39">
        <f t="shared" si="16"/>
        <v>0</v>
      </c>
      <c r="AX60" s="39"/>
      <c r="AY60" s="39">
        <f t="shared" si="17"/>
        <v>0</v>
      </c>
    </row>
    <row r="61" spans="1:51" s="7" customFormat="1" ht="12" x14ac:dyDescent="0.2">
      <c r="A61" s="7" t="s">
        <v>165</v>
      </c>
      <c r="C61" s="7" t="s">
        <v>474</v>
      </c>
      <c r="E61" s="35">
        <v>18431.53</v>
      </c>
      <c r="F61" s="35"/>
      <c r="G61" s="35">
        <v>1182.2</v>
      </c>
      <c r="H61" s="35"/>
      <c r="I61" s="35">
        <v>5751.33</v>
      </c>
      <c r="J61" s="35"/>
      <c r="K61" s="35">
        <v>0</v>
      </c>
      <c r="L61" s="35"/>
      <c r="M61" s="35">
        <f t="shared" si="11"/>
        <v>-11498</v>
      </c>
      <c r="N61" s="35"/>
      <c r="O61" s="35">
        <f t="shared" si="12"/>
        <v>-11497.999999999998</v>
      </c>
      <c r="P61" s="35"/>
      <c r="Q61" s="35">
        <v>24659.71</v>
      </c>
      <c r="R61" s="35"/>
      <c r="S61" s="35">
        <v>0</v>
      </c>
      <c r="T61" s="35"/>
      <c r="U61" s="35">
        <v>0</v>
      </c>
      <c r="V61" s="35"/>
      <c r="W61" s="35">
        <v>0</v>
      </c>
      <c r="X61" s="35"/>
      <c r="Y61" s="35">
        <v>0</v>
      </c>
      <c r="Z61" s="35"/>
      <c r="AA61" s="35">
        <v>0</v>
      </c>
      <c r="AB61" s="35"/>
      <c r="AC61" s="35">
        <v>0</v>
      </c>
      <c r="AD61" s="35"/>
      <c r="AE61" s="35">
        <v>0</v>
      </c>
      <c r="AF61" s="35"/>
      <c r="AG61" s="35">
        <v>0</v>
      </c>
      <c r="AH61" s="35"/>
      <c r="AI61" s="35">
        <v>0</v>
      </c>
      <c r="AJ61" s="35"/>
      <c r="AK61" s="35">
        <f t="shared" si="13"/>
        <v>24659.71</v>
      </c>
      <c r="AL61" s="35"/>
      <c r="AM61" s="35">
        <v>13161.71</v>
      </c>
      <c r="AN61" s="35"/>
      <c r="AO61" s="35">
        <v>18999.23</v>
      </c>
      <c r="AP61" s="35"/>
      <c r="AQ61" s="35">
        <v>32160.94</v>
      </c>
      <c r="AS61" s="39">
        <f t="shared" si="14"/>
        <v>0</v>
      </c>
      <c r="AT61" s="39"/>
      <c r="AU61" s="39">
        <f t="shared" si="15"/>
        <v>0</v>
      </c>
      <c r="AV61" s="39"/>
      <c r="AW61" s="39">
        <f t="shared" si="16"/>
        <v>0</v>
      </c>
      <c r="AX61" s="39"/>
      <c r="AY61" s="39">
        <f t="shared" si="17"/>
        <v>0</v>
      </c>
    </row>
    <row r="62" spans="1:51" s="7" customFormat="1" ht="12" x14ac:dyDescent="0.2">
      <c r="A62" s="7" t="s">
        <v>520</v>
      </c>
      <c r="C62" s="7" t="s">
        <v>798</v>
      </c>
      <c r="E62" s="35">
        <v>3795950</v>
      </c>
      <c r="F62" s="35"/>
      <c r="G62" s="35">
        <v>0</v>
      </c>
      <c r="H62" s="35"/>
      <c r="I62" s="35">
        <v>0</v>
      </c>
      <c r="J62" s="35"/>
      <c r="K62" s="35">
        <v>0</v>
      </c>
      <c r="L62" s="35"/>
      <c r="M62" s="35">
        <f t="shared" si="11"/>
        <v>-3795950</v>
      </c>
      <c r="N62" s="35"/>
      <c r="O62" s="35">
        <f t="shared" si="12"/>
        <v>-3795950</v>
      </c>
      <c r="P62" s="35"/>
      <c r="Q62" s="35">
        <v>0</v>
      </c>
      <c r="R62" s="35"/>
      <c r="S62" s="35">
        <v>0</v>
      </c>
      <c r="T62" s="35"/>
      <c r="U62" s="35">
        <v>0</v>
      </c>
      <c r="V62" s="35"/>
      <c r="W62" s="35">
        <v>0</v>
      </c>
      <c r="X62" s="35"/>
      <c r="Y62" s="35">
        <v>0</v>
      </c>
      <c r="Z62" s="35"/>
      <c r="AA62" s="35">
        <v>0</v>
      </c>
      <c r="AB62" s="35"/>
      <c r="AC62" s="35">
        <v>0</v>
      </c>
      <c r="AD62" s="35"/>
      <c r="AE62" s="35">
        <v>-391875</v>
      </c>
      <c r="AF62" s="35"/>
      <c r="AG62" s="35">
        <v>0</v>
      </c>
      <c r="AH62" s="35"/>
      <c r="AI62" s="35">
        <v>0</v>
      </c>
      <c r="AJ62" s="35"/>
      <c r="AK62" s="35">
        <f t="shared" si="13"/>
        <v>-391875</v>
      </c>
      <c r="AL62" s="35"/>
      <c r="AM62" s="35">
        <v>-4187825</v>
      </c>
      <c r="AN62" s="35"/>
      <c r="AO62" s="35">
        <v>798382</v>
      </c>
      <c r="AP62" s="35"/>
      <c r="AQ62" s="35">
        <f>AO62+AM62</f>
        <v>-3389443</v>
      </c>
      <c r="AS62" s="39">
        <f t="shared" si="14"/>
        <v>0</v>
      </c>
      <c r="AT62" s="39"/>
      <c r="AU62" s="39">
        <f t="shared" si="15"/>
        <v>0</v>
      </c>
      <c r="AV62" s="39"/>
      <c r="AW62" s="39">
        <f t="shared" si="16"/>
        <v>0</v>
      </c>
      <c r="AX62" s="39"/>
      <c r="AY62" s="39">
        <f t="shared" si="17"/>
        <v>0</v>
      </c>
    </row>
    <row r="63" spans="1:51" s="7" customFormat="1" ht="12" x14ac:dyDescent="0.2">
      <c r="A63" s="7" t="s">
        <v>833</v>
      </c>
      <c r="C63" s="7" t="s">
        <v>751</v>
      </c>
      <c r="E63" s="35">
        <v>1168424.17</v>
      </c>
      <c r="F63" s="35"/>
      <c r="G63" s="35">
        <v>1009676.1</v>
      </c>
      <c r="H63" s="35"/>
      <c r="I63" s="35">
        <v>5722.85</v>
      </c>
      <c r="J63" s="35"/>
      <c r="K63" s="35">
        <v>0</v>
      </c>
      <c r="L63" s="35"/>
      <c r="M63" s="35">
        <f t="shared" si="11"/>
        <v>-153025.21999999997</v>
      </c>
      <c r="N63" s="35"/>
      <c r="O63" s="35">
        <f t="shared" si="12"/>
        <v>-153025.21999999994</v>
      </c>
      <c r="P63" s="35"/>
      <c r="Q63" s="35">
        <v>6591.28</v>
      </c>
      <c r="R63" s="35"/>
      <c r="S63" s="35">
        <v>78439.64</v>
      </c>
      <c r="T63" s="35"/>
      <c r="U63" s="35">
        <v>47704.52</v>
      </c>
      <c r="V63" s="35"/>
      <c r="W63" s="35">
        <v>1.1499999999999999</v>
      </c>
      <c r="X63" s="35"/>
      <c r="Y63" s="35">
        <v>0</v>
      </c>
      <c r="Z63" s="35"/>
      <c r="AA63" s="35">
        <v>7998.59</v>
      </c>
      <c r="AB63" s="35"/>
      <c r="AC63" s="35">
        <v>0</v>
      </c>
      <c r="AD63" s="35"/>
      <c r="AE63" s="35">
        <v>0</v>
      </c>
      <c r="AF63" s="35"/>
      <c r="AG63" s="35">
        <v>0</v>
      </c>
      <c r="AH63" s="35"/>
      <c r="AI63" s="35">
        <v>0</v>
      </c>
      <c r="AJ63" s="35"/>
      <c r="AK63" s="35">
        <f t="shared" si="13"/>
        <v>140735.18</v>
      </c>
      <c r="AL63" s="35"/>
      <c r="AM63" s="35">
        <v>-12290.04</v>
      </c>
      <c r="AN63" s="35"/>
      <c r="AO63" s="35">
        <v>372642.1</v>
      </c>
      <c r="AP63" s="35"/>
      <c r="AQ63" s="35">
        <v>360352.06</v>
      </c>
      <c r="AS63" s="39">
        <f t="shared" si="14"/>
        <v>0</v>
      </c>
      <c r="AT63" s="39"/>
      <c r="AU63" s="39">
        <f t="shared" si="15"/>
        <v>0</v>
      </c>
      <c r="AV63" s="39"/>
      <c r="AW63" s="39">
        <f t="shared" si="16"/>
        <v>5.0931703299283981E-11</v>
      </c>
      <c r="AX63" s="39"/>
      <c r="AY63" s="39">
        <f t="shared" si="17"/>
        <v>0</v>
      </c>
    </row>
    <row r="64" spans="1:51" s="7" customFormat="1" ht="12" x14ac:dyDescent="0.2">
      <c r="A64" s="7" t="s">
        <v>912</v>
      </c>
      <c r="C64" s="7" t="s">
        <v>350</v>
      </c>
      <c r="E64" s="35">
        <v>642554.75</v>
      </c>
      <c r="F64" s="35"/>
      <c r="G64" s="35">
        <v>149035.72</v>
      </c>
      <c r="H64" s="35"/>
      <c r="I64" s="35">
        <v>47851.11</v>
      </c>
      <c r="J64" s="35"/>
      <c r="K64" s="35">
        <v>0</v>
      </c>
      <c r="L64" s="35"/>
      <c r="M64" s="35">
        <f t="shared" si="11"/>
        <v>-445667.92</v>
      </c>
      <c r="N64" s="35"/>
      <c r="O64" s="35">
        <f t="shared" si="12"/>
        <v>-445667.92000000004</v>
      </c>
      <c r="P64" s="35"/>
      <c r="Q64" s="35">
        <v>11546.82</v>
      </c>
      <c r="R64" s="35"/>
      <c r="S64" s="35">
        <v>0</v>
      </c>
      <c r="T64" s="35"/>
      <c r="U64" s="35">
        <v>198.76</v>
      </c>
      <c r="V64" s="35"/>
      <c r="W64" s="35">
        <v>0</v>
      </c>
      <c r="X64" s="35"/>
      <c r="Y64" s="35">
        <v>0</v>
      </c>
      <c r="Z64" s="35"/>
      <c r="AA64" s="35">
        <v>0</v>
      </c>
      <c r="AB64" s="35"/>
      <c r="AC64" s="35">
        <v>0</v>
      </c>
      <c r="AD64" s="35"/>
      <c r="AE64" s="35">
        <v>-35000</v>
      </c>
      <c r="AF64" s="35"/>
      <c r="AG64" s="35">
        <v>0</v>
      </c>
      <c r="AH64" s="35"/>
      <c r="AI64" s="35">
        <v>0</v>
      </c>
      <c r="AJ64" s="35"/>
      <c r="AK64" s="35">
        <f t="shared" si="13"/>
        <v>-23254.42</v>
      </c>
      <c r="AL64" s="35"/>
      <c r="AM64" s="35">
        <v>-468922.34</v>
      </c>
      <c r="AN64" s="35"/>
      <c r="AO64" s="35">
        <v>52928.74</v>
      </c>
      <c r="AP64" s="35"/>
      <c r="AQ64" s="35">
        <v>-415993.59999999998</v>
      </c>
      <c r="AS64" s="39">
        <f t="shared" si="14"/>
        <v>0</v>
      </c>
      <c r="AT64" s="39"/>
      <c r="AU64" s="39">
        <f t="shared" si="15"/>
        <v>0</v>
      </c>
      <c r="AV64" s="39"/>
      <c r="AW64" s="39">
        <f t="shared" si="16"/>
        <v>0</v>
      </c>
      <c r="AX64" s="39"/>
      <c r="AY64" s="39">
        <f t="shared" si="17"/>
        <v>0</v>
      </c>
    </row>
    <row r="65" spans="1:51" s="7" customFormat="1" ht="12" x14ac:dyDescent="0.2">
      <c r="A65" s="7" t="s">
        <v>110</v>
      </c>
      <c r="C65" s="7" t="s">
        <v>409</v>
      </c>
      <c r="E65" s="35">
        <v>541264.1</v>
      </c>
      <c r="F65" s="35"/>
      <c r="G65" s="35">
        <v>45267.81</v>
      </c>
      <c r="H65" s="35"/>
      <c r="I65" s="35">
        <v>60969.86</v>
      </c>
      <c r="J65" s="35"/>
      <c r="K65" s="35">
        <v>0</v>
      </c>
      <c r="L65" s="35"/>
      <c r="M65" s="35">
        <f t="shared" si="11"/>
        <v>-435026.43</v>
      </c>
      <c r="N65" s="35"/>
      <c r="O65" s="35">
        <f t="shared" si="12"/>
        <v>-435026.43</v>
      </c>
      <c r="P65" s="35"/>
      <c r="Q65" s="35">
        <v>203047.58</v>
      </c>
      <c r="R65" s="35"/>
      <c r="S65" s="35">
        <v>0</v>
      </c>
      <c r="T65" s="35"/>
      <c r="U65" s="35">
        <v>90067.59</v>
      </c>
      <c r="V65" s="35"/>
      <c r="W65" s="35">
        <v>2418.0700000000002</v>
      </c>
      <c r="X65" s="35"/>
      <c r="Y65" s="35">
        <v>14772.92</v>
      </c>
      <c r="Z65" s="35"/>
      <c r="AA65" s="35">
        <v>21239.360000000001</v>
      </c>
      <c r="AB65" s="35"/>
      <c r="AC65" s="35">
        <v>0</v>
      </c>
      <c r="AD65" s="35"/>
      <c r="AE65" s="35">
        <v>181073.56</v>
      </c>
      <c r="AF65" s="35"/>
      <c r="AG65" s="35">
        <v>0</v>
      </c>
      <c r="AH65" s="35"/>
      <c r="AI65" s="35">
        <v>0</v>
      </c>
      <c r="AJ65" s="35"/>
      <c r="AK65" s="35">
        <f t="shared" si="13"/>
        <v>512619.07999999996</v>
      </c>
      <c r="AL65" s="35"/>
      <c r="AM65" s="35">
        <v>77592.649999999994</v>
      </c>
      <c r="AN65" s="35"/>
      <c r="AO65" s="35">
        <v>234522.69</v>
      </c>
      <c r="AP65" s="35"/>
      <c r="AQ65" s="35">
        <v>312115.34000000003</v>
      </c>
      <c r="AS65" s="39">
        <f t="shared" si="14"/>
        <v>0</v>
      </c>
      <c r="AT65" s="39"/>
      <c r="AU65" s="39">
        <f t="shared" si="15"/>
        <v>0</v>
      </c>
      <c r="AV65" s="39"/>
      <c r="AW65" s="39">
        <f t="shared" si="16"/>
        <v>0</v>
      </c>
      <c r="AX65" s="39"/>
      <c r="AY65" s="39">
        <f t="shared" si="17"/>
        <v>0</v>
      </c>
    </row>
    <row r="66" spans="1:51" s="7" customFormat="1" ht="12" x14ac:dyDescent="0.2">
      <c r="A66" s="7" t="s">
        <v>913</v>
      </c>
      <c r="C66" s="7" t="s">
        <v>659</v>
      </c>
      <c r="E66" s="35">
        <v>788145.11</v>
      </c>
      <c r="F66" s="35"/>
      <c r="G66" s="35">
        <v>174638.17</v>
      </c>
      <c r="H66" s="35"/>
      <c r="I66" s="35">
        <v>221229.19</v>
      </c>
      <c r="J66" s="35"/>
      <c r="K66" s="35">
        <v>0</v>
      </c>
      <c r="L66" s="35"/>
      <c r="M66" s="35">
        <f t="shared" si="11"/>
        <v>-392277.75</v>
      </c>
      <c r="N66" s="35"/>
      <c r="O66" s="35">
        <f t="shared" si="12"/>
        <v>-392277.74999999994</v>
      </c>
      <c r="P66" s="35"/>
      <c r="Q66" s="35">
        <v>123384.58</v>
      </c>
      <c r="R66" s="35"/>
      <c r="S66" s="35">
        <v>148518.98000000001</v>
      </c>
      <c r="T66" s="35"/>
      <c r="U66" s="35">
        <v>59077.78</v>
      </c>
      <c r="V66" s="35"/>
      <c r="W66" s="35">
        <v>272.45</v>
      </c>
      <c r="X66" s="35"/>
      <c r="Y66" s="35">
        <v>9712.58</v>
      </c>
      <c r="Z66" s="35"/>
      <c r="AA66" s="35">
        <v>14338.29</v>
      </c>
      <c r="AB66" s="35"/>
      <c r="AC66" s="35">
        <v>0</v>
      </c>
      <c r="AD66" s="35"/>
      <c r="AE66" s="35">
        <v>0</v>
      </c>
      <c r="AF66" s="35"/>
      <c r="AG66" s="35">
        <v>0</v>
      </c>
      <c r="AH66" s="35"/>
      <c r="AI66" s="35">
        <v>0</v>
      </c>
      <c r="AJ66" s="35"/>
      <c r="AK66" s="35">
        <f t="shared" si="13"/>
        <v>355304.66</v>
      </c>
      <c r="AL66" s="35"/>
      <c r="AM66" s="35">
        <v>-36973.089999999997</v>
      </c>
      <c r="AN66" s="35"/>
      <c r="AO66" s="35">
        <v>273059.34999999998</v>
      </c>
      <c r="AP66" s="35"/>
      <c r="AQ66" s="35">
        <v>236086.26</v>
      </c>
      <c r="AS66" s="39">
        <f t="shared" si="14"/>
        <v>0</v>
      </c>
      <c r="AT66" s="39"/>
      <c r="AU66" s="39">
        <f t="shared" si="15"/>
        <v>0</v>
      </c>
      <c r="AV66" s="39"/>
      <c r="AW66" s="39">
        <f t="shared" si="16"/>
        <v>0</v>
      </c>
      <c r="AX66" s="39"/>
      <c r="AY66" s="39">
        <f t="shared" si="17"/>
        <v>0</v>
      </c>
    </row>
    <row r="67" spans="1:51" s="7" customFormat="1" ht="12" x14ac:dyDescent="0.2">
      <c r="A67" s="7" t="s">
        <v>322</v>
      </c>
      <c r="C67" s="7" t="s">
        <v>316</v>
      </c>
      <c r="E67" s="35">
        <v>18482699</v>
      </c>
      <c r="F67" s="35"/>
      <c r="G67" s="35">
        <v>1441793</v>
      </c>
      <c r="H67" s="35"/>
      <c r="I67" s="35">
        <v>46529</v>
      </c>
      <c r="J67" s="35"/>
      <c r="K67" s="35">
        <v>371231</v>
      </c>
      <c r="L67" s="35"/>
      <c r="M67" s="35">
        <f t="shared" si="11"/>
        <v>-16623146</v>
      </c>
      <c r="N67" s="35"/>
      <c r="O67" s="35">
        <f t="shared" si="12"/>
        <v>-16623146</v>
      </c>
      <c r="P67" s="35"/>
      <c r="Q67" s="35">
        <f>169581+428808+107025+223615+986484+58765</f>
        <v>1974278</v>
      </c>
      <c r="R67" s="35"/>
      <c r="S67" s="35">
        <v>15246801</v>
      </c>
      <c r="T67" s="35"/>
      <c r="U67" s="35">
        <v>1089705</v>
      </c>
      <c r="V67" s="35"/>
      <c r="W67" s="35">
        <v>13846</v>
      </c>
      <c r="X67" s="35"/>
      <c r="Y67" s="35">
        <v>0</v>
      </c>
      <c r="Z67" s="35"/>
      <c r="AA67" s="35">
        <f>143547+16301+7399</f>
        <v>167247</v>
      </c>
      <c r="AB67" s="35"/>
      <c r="AC67" s="35">
        <v>2400000</v>
      </c>
      <c r="AD67" s="35"/>
      <c r="AE67" s="35">
        <v>0</v>
      </c>
      <c r="AF67" s="35"/>
      <c r="AG67" s="35">
        <v>0</v>
      </c>
      <c r="AH67" s="35"/>
      <c r="AI67" s="35">
        <v>0</v>
      </c>
      <c r="AJ67" s="35"/>
      <c r="AK67" s="35">
        <f t="shared" si="13"/>
        <v>20891877</v>
      </c>
      <c r="AL67" s="35"/>
      <c r="AM67" s="35">
        <v>4268731</v>
      </c>
      <c r="AN67" s="35"/>
      <c r="AO67" s="35">
        <v>8504714</v>
      </c>
      <c r="AP67" s="35"/>
      <c r="AQ67" s="35">
        <v>12773445</v>
      </c>
      <c r="AR67" s="41"/>
      <c r="AS67" s="39">
        <f t="shared" si="14"/>
        <v>0</v>
      </c>
      <c r="AT67" s="39"/>
      <c r="AU67" s="39">
        <f t="shared" si="15"/>
        <v>0</v>
      </c>
      <c r="AV67" s="39"/>
      <c r="AW67" s="39">
        <f t="shared" si="16"/>
        <v>0</v>
      </c>
      <c r="AX67" s="39"/>
      <c r="AY67" s="39">
        <f t="shared" si="17"/>
        <v>0</v>
      </c>
    </row>
    <row r="68" spans="1:51" s="7" customFormat="1" ht="12" x14ac:dyDescent="0.2">
      <c r="A68" s="7" t="s">
        <v>834</v>
      </c>
      <c r="C68" s="7" t="s">
        <v>783</v>
      </c>
      <c r="E68" s="35">
        <v>96172.62</v>
      </c>
      <c r="F68" s="35"/>
      <c r="G68" s="35">
        <v>17196.38</v>
      </c>
      <c r="H68" s="35"/>
      <c r="I68" s="35">
        <v>26267.69</v>
      </c>
      <c r="J68" s="35"/>
      <c r="K68" s="35">
        <v>0</v>
      </c>
      <c r="L68" s="35"/>
      <c r="M68" s="35">
        <f t="shared" si="11"/>
        <v>-52708.549999999996</v>
      </c>
      <c r="N68" s="35"/>
      <c r="O68" s="35">
        <f t="shared" si="12"/>
        <v>-52708.549999999988</v>
      </c>
      <c r="P68" s="35"/>
      <c r="Q68" s="35">
        <v>0</v>
      </c>
      <c r="R68" s="35"/>
      <c r="S68" s="35">
        <v>0</v>
      </c>
      <c r="T68" s="35"/>
      <c r="U68" s="35">
        <v>0</v>
      </c>
      <c r="V68" s="35"/>
      <c r="W68" s="35">
        <v>0</v>
      </c>
      <c r="X68" s="35"/>
      <c r="Y68" s="35">
        <v>0</v>
      </c>
      <c r="Z68" s="35"/>
      <c r="AA68" s="35">
        <v>202.04</v>
      </c>
      <c r="AB68" s="35"/>
      <c r="AC68" s="35">
        <v>0</v>
      </c>
      <c r="AD68" s="35"/>
      <c r="AE68" s="35">
        <v>0</v>
      </c>
      <c r="AF68" s="35"/>
      <c r="AG68" s="35">
        <v>0</v>
      </c>
      <c r="AH68" s="35"/>
      <c r="AI68" s="35">
        <v>0</v>
      </c>
      <c r="AJ68" s="35"/>
      <c r="AK68" s="35">
        <f t="shared" si="13"/>
        <v>202.04</v>
      </c>
      <c r="AL68" s="35"/>
      <c r="AM68" s="35">
        <v>-52506.51</v>
      </c>
      <c r="AN68" s="35"/>
      <c r="AO68" s="35">
        <v>71907.649999999994</v>
      </c>
      <c r="AP68" s="35"/>
      <c r="AQ68" s="35">
        <v>19401.14</v>
      </c>
      <c r="AS68" s="39">
        <f t="shared" si="14"/>
        <v>0</v>
      </c>
      <c r="AT68" s="39"/>
      <c r="AU68" s="39">
        <f t="shared" si="15"/>
        <v>0</v>
      </c>
      <c r="AV68" s="39"/>
      <c r="AW68" s="39">
        <f t="shared" si="16"/>
        <v>0</v>
      </c>
      <c r="AX68" s="39"/>
      <c r="AY68" s="39">
        <f t="shared" si="17"/>
        <v>0</v>
      </c>
    </row>
    <row r="69" spans="1:51" s="7" customFormat="1" ht="12" x14ac:dyDescent="0.2">
      <c r="A69" s="7" t="s">
        <v>367</v>
      </c>
      <c r="C69" s="7" t="s">
        <v>368</v>
      </c>
      <c r="E69" s="35">
        <v>3420948</v>
      </c>
      <c r="F69" s="35"/>
      <c r="G69" s="35">
        <v>346327</v>
      </c>
      <c r="H69" s="35"/>
      <c r="I69" s="35">
        <v>25780</v>
      </c>
      <c r="J69" s="35"/>
      <c r="K69" s="35">
        <v>112290</v>
      </c>
      <c r="L69" s="35"/>
      <c r="M69" s="35">
        <f t="shared" si="11"/>
        <v>-2936551</v>
      </c>
      <c r="N69" s="35"/>
      <c r="O69" s="35">
        <f t="shared" si="12"/>
        <v>-2936551</v>
      </c>
      <c r="P69" s="35"/>
      <c r="Q69" s="35">
        <f>241798+57275</f>
        <v>299073</v>
      </c>
      <c r="R69" s="35"/>
      <c r="S69" s="35">
        <f>12767+2294483</f>
        <v>2307250</v>
      </c>
      <c r="T69" s="35"/>
      <c r="U69" s="35">
        <v>146517</v>
      </c>
      <c r="V69" s="35"/>
      <c r="W69" s="35">
        <v>5435</v>
      </c>
      <c r="X69" s="35"/>
      <c r="Y69" s="35">
        <v>0</v>
      </c>
      <c r="Z69" s="35"/>
      <c r="AA69" s="35">
        <f>16693+8305</f>
        <v>24998</v>
      </c>
      <c r="AB69" s="35"/>
      <c r="AC69" s="35">
        <v>0</v>
      </c>
      <c r="AD69" s="35"/>
      <c r="AE69" s="35">
        <v>16000</v>
      </c>
      <c r="AF69" s="35"/>
      <c r="AG69" s="35">
        <v>0</v>
      </c>
      <c r="AH69" s="35"/>
      <c r="AI69" s="35">
        <v>0</v>
      </c>
      <c r="AJ69" s="35"/>
      <c r="AK69" s="35">
        <f t="shared" si="13"/>
        <v>2799273</v>
      </c>
      <c r="AL69" s="35"/>
      <c r="AM69" s="35">
        <v>-137278</v>
      </c>
      <c r="AN69" s="35"/>
      <c r="AO69" s="35">
        <v>3143350</v>
      </c>
      <c r="AP69" s="35"/>
      <c r="AQ69" s="35">
        <v>3006072</v>
      </c>
      <c r="AS69" s="39">
        <f t="shared" si="14"/>
        <v>0</v>
      </c>
      <c r="AT69" s="39"/>
      <c r="AU69" s="39">
        <f t="shared" si="15"/>
        <v>0</v>
      </c>
      <c r="AV69" s="39"/>
      <c r="AW69" s="39">
        <f t="shared" si="16"/>
        <v>0</v>
      </c>
      <c r="AX69" s="39"/>
      <c r="AY69" s="39">
        <f t="shared" si="17"/>
        <v>0</v>
      </c>
    </row>
    <row r="70" spans="1:51" s="7" customFormat="1" ht="12" x14ac:dyDescent="0.2">
      <c r="A70" s="7" t="s">
        <v>347</v>
      </c>
      <c r="C70" s="7" t="s">
        <v>348</v>
      </c>
      <c r="E70" s="35">
        <v>823100</v>
      </c>
      <c r="F70" s="35"/>
      <c r="G70" s="35">
        <v>72908</v>
      </c>
      <c r="H70" s="35"/>
      <c r="I70" s="35">
        <v>87572</v>
      </c>
      <c r="J70" s="35"/>
      <c r="K70" s="35">
        <v>3120</v>
      </c>
      <c r="L70" s="35"/>
      <c r="M70" s="35">
        <f t="shared" si="11"/>
        <v>-659500</v>
      </c>
      <c r="N70" s="35"/>
      <c r="O70" s="35">
        <f t="shared" si="12"/>
        <v>-659500</v>
      </c>
      <c r="P70" s="35"/>
      <c r="Q70" s="35">
        <f>132170+84866</f>
        <v>217036</v>
      </c>
      <c r="R70" s="35"/>
      <c r="S70" s="35">
        <f>418224+84308</f>
        <v>502532</v>
      </c>
      <c r="T70" s="35"/>
      <c r="U70" s="35">
        <v>77209</v>
      </c>
      <c r="V70" s="35"/>
      <c r="W70" s="35">
        <v>2061</v>
      </c>
      <c r="X70" s="35"/>
      <c r="Y70" s="35">
        <v>0</v>
      </c>
      <c r="Z70" s="35"/>
      <c r="AA70" s="35">
        <v>0</v>
      </c>
      <c r="AB70" s="35"/>
      <c r="AC70" s="35">
        <v>0</v>
      </c>
      <c r="AD70" s="35"/>
      <c r="AE70" s="35">
        <v>-16849</v>
      </c>
      <c r="AF70" s="35"/>
      <c r="AG70" s="35">
        <v>0</v>
      </c>
      <c r="AH70" s="35"/>
      <c r="AI70" s="35">
        <v>0</v>
      </c>
      <c r="AJ70" s="35"/>
      <c r="AK70" s="35">
        <f t="shared" si="13"/>
        <v>781989</v>
      </c>
      <c r="AL70" s="35"/>
      <c r="AM70" s="35">
        <v>122489</v>
      </c>
      <c r="AN70" s="35"/>
      <c r="AO70" s="35">
        <v>1050677</v>
      </c>
      <c r="AP70" s="35"/>
      <c r="AQ70" s="35">
        <v>1173166</v>
      </c>
      <c r="AS70" s="39">
        <f t="shared" si="14"/>
        <v>0</v>
      </c>
      <c r="AT70" s="39"/>
      <c r="AU70" s="39">
        <f t="shared" si="15"/>
        <v>0</v>
      </c>
      <c r="AV70" s="39"/>
      <c r="AW70" s="39">
        <f t="shared" si="16"/>
        <v>0</v>
      </c>
      <c r="AX70" s="39"/>
      <c r="AY70" s="39">
        <f t="shared" si="17"/>
        <v>0</v>
      </c>
    </row>
    <row r="71" spans="1:51" s="7" customFormat="1" ht="12" x14ac:dyDescent="0.2">
      <c r="A71" s="7" t="s">
        <v>414</v>
      </c>
      <c r="C71" s="7" t="s">
        <v>412</v>
      </c>
      <c r="E71" s="35">
        <v>1321269.49</v>
      </c>
      <c r="F71" s="35"/>
      <c r="G71" s="35">
        <v>64096.03</v>
      </c>
      <c r="H71" s="35"/>
      <c r="I71" s="35">
        <v>162800.93</v>
      </c>
      <c r="J71" s="35"/>
      <c r="K71" s="35">
        <v>25000</v>
      </c>
      <c r="L71" s="35"/>
      <c r="M71" s="35">
        <f t="shared" si="11"/>
        <v>-1069372.53</v>
      </c>
      <c r="N71" s="35"/>
      <c r="O71" s="35">
        <f t="shared" si="12"/>
        <v>-1069372.53</v>
      </c>
      <c r="P71" s="35"/>
      <c r="Q71" s="35">
        <v>256337.75999999998</v>
      </c>
      <c r="R71" s="35"/>
      <c r="S71" s="35">
        <v>1094416.44</v>
      </c>
      <c r="T71" s="35"/>
      <c r="U71" s="35">
        <v>229218.4</v>
      </c>
      <c r="V71" s="35"/>
      <c r="W71" s="35">
        <v>3508.4</v>
      </c>
      <c r="X71" s="35"/>
      <c r="Y71" s="35">
        <v>46202.91</v>
      </c>
      <c r="Z71" s="35"/>
      <c r="AA71" s="35">
        <v>8019.41</v>
      </c>
      <c r="AB71" s="35"/>
      <c r="AC71" s="35">
        <v>0</v>
      </c>
      <c r="AD71" s="35"/>
      <c r="AE71" s="35">
        <v>0</v>
      </c>
      <c r="AF71" s="35"/>
      <c r="AG71" s="35">
        <v>0</v>
      </c>
      <c r="AH71" s="35"/>
      <c r="AI71" s="35">
        <v>0</v>
      </c>
      <c r="AJ71" s="35"/>
      <c r="AK71" s="35">
        <f t="shared" si="13"/>
        <v>1637703.3199999996</v>
      </c>
      <c r="AL71" s="35"/>
      <c r="AM71" s="35">
        <v>568330.79</v>
      </c>
      <c r="AN71" s="35"/>
      <c r="AO71" s="35">
        <v>405413.61</v>
      </c>
      <c r="AP71" s="35"/>
      <c r="AQ71" s="35">
        <v>973744.4</v>
      </c>
      <c r="AS71" s="39">
        <f t="shared" si="14"/>
        <v>0</v>
      </c>
      <c r="AT71" s="39"/>
      <c r="AU71" s="39">
        <f t="shared" si="15"/>
        <v>0</v>
      </c>
      <c r="AV71" s="39"/>
      <c r="AW71" s="39">
        <f t="shared" si="16"/>
        <v>0</v>
      </c>
      <c r="AX71" s="39"/>
      <c r="AY71" s="39">
        <f t="shared" si="17"/>
        <v>0</v>
      </c>
    </row>
    <row r="72" spans="1:51" s="7" customFormat="1" ht="12" x14ac:dyDescent="0.2">
      <c r="A72" s="7" t="s">
        <v>74</v>
      </c>
      <c r="C72" s="7" t="s">
        <v>353</v>
      </c>
      <c r="E72" s="35">
        <v>1400252.79</v>
      </c>
      <c r="F72" s="35"/>
      <c r="G72" s="35">
        <v>248582.91</v>
      </c>
      <c r="H72" s="35"/>
      <c r="I72" s="35">
        <v>56050.26</v>
      </c>
      <c r="J72" s="35"/>
      <c r="K72" s="35">
        <v>3617.91</v>
      </c>
      <c r="L72" s="35"/>
      <c r="M72" s="35">
        <f t="shared" si="11"/>
        <v>-1092001.71</v>
      </c>
      <c r="N72" s="35"/>
      <c r="O72" s="35">
        <f t="shared" si="12"/>
        <v>-1092001.7100000002</v>
      </c>
      <c r="P72" s="35"/>
      <c r="Q72" s="35">
        <v>567074.84000000008</v>
      </c>
      <c r="R72" s="35"/>
      <c r="S72" s="35">
        <v>266749.65999999997</v>
      </c>
      <c r="T72" s="35"/>
      <c r="U72" s="35">
        <v>72664.149999999994</v>
      </c>
      <c r="V72" s="35"/>
      <c r="W72" s="35">
        <v>731</v>
      </c>
      <c r="X72" s="35"/>
      <c r="Y72" s="35">
        <v>10519.22</v>
      </c>
      <c r="Z72" s="35"/>
      <c r="AA72" s="35">
        <v>41451.660000000003</v>
      </c>
      <c r="AB72" s="35"/>
      <c r="AC72" s="35">
        <v>0</v>
      </c>
      <c r="AD72" s="35"/>
      <c r="AE72" s="35">
        <v>0</v>
      </c>
      <c r="AF72" s="35"/>
      <c r="AG72" s="35">
        <v>0</v>
      </c>
      <c r="AH72" s="35"/>
      <c r="AI72" s="35">
        <v>0</v>
      </c>
      <c r="AJ72" s="35"/>
      <c r="AK72" s="35">
        <f t="shared" si="13"/>
        <v>959190.53</v>
      </c>
      <c r="AL72" s="35"/>
      <c r="AM72" s="35">
        <v>-132811.18</v>
      </c>
      <c r="AN72" s="35"/>
      <c r="AO72" s="35">
        <v>617098.63</v>
      </c>
      <c r="AP72" s="35"/>
      <c r="AQ72" s="35">
        <v>484287.45</v>
      </c>
      <c r="AS72" s="39">
        <f t="shared" si="14"/>
        <v>0</v>
      </c>
      <c r="AT72" s="39"/>
      <c r="AU72" s="39">
        <f t="shared" si="15"/>
        <v>0</v>
      </c>
      <c r="AV72" s="39"/>
      <c r="AW72" s="39">
        <f t="shared" si="16"/>
        <v>0</v>
      </c>
      <c r="AX72" s="39"/>
      <c r="AY72" s="39">
        <f t="shared" si="17"/>
        <v>0</v>
      </c>
    </row>
    <row r="73" spans="1:51" s="7" customFormat="1" ht="12" x14ac:dyDescent="0.2">
      <c r="A73" s="7" t="s">
        <v>597</v>
      </c>
      <c r="C73" s="7" t="s">
        <v>596</v>
      </c>
      <c r="E73" s="35">
        <v>4207159</v>
      </c>
      <c r="F73" s="35"/>
      <c r="G73" s="35">
        <v>501290</v>
      </c>
      <c r="H73" s="35"/>
      <c r="I73" s="35">
        <v>212194</v>
      </c>
      <c r="J73" s="35"/>
      <c r="K73" s="35">
        <v>306431</v>
      </c>
      <c r="L73" s="35"/>
      <c r="M73" s="35">
        <f t="shared" ref="M73:M106" si="18">SUM(G73:K73)-E73</f>
        <v>-3187244</v>
      </c>
      <c r="N73" s="35"/>
      <c r="O73" s="35">
        <f t="shared" ref="O73:O106" si="19">-E73+G73+I73+K73</f>
        <v>-3187244</v>
      </c>
      <c r="P73" s="35"/>
      <c r="Q73" s="35">
        <f>133368+13650+327451</f>
        <v>474469</v>
      </c>
      <c r="R73" s="35"/>
      <c r="S73" s="35">
        <v>1713682</v>
      </c>
      <c r="T73" s="35"/>
      <c r="U73" s="35">
        <v>278998</v>
      </c>
      <c r="V73" s="35"/>
      <c r="W73" s="35">
        <v>54428</v>
      </c>
      <c r="X73" s="35"/>
      <c r="Y73" s="35">
        <v>0</v>
      </c>
      <c r="Z73" s="35"/>
      <c r="AA73" s="35">
        <f>12124+28764</f>
        <v>40888</v>
      </c>
      <c r="AB73" s="35"/>
      <c r="AC73" s="35">
        <v>320000</v>
      </c>
      <c r="AD73" s="35"/>
      <c r="AE73" s="35">
        <v>87543</v>
      </c>
      <c r="AF73" s="35"/>
      <c r="AG73" s="35">
        <v>0</v>
      </c>
      <c r="AH73" s="35"/>
      <c r="AI73" s="35">
        <v>0</v>
      </c>
      <c r="AJ73" s="35"/>
      <c r="AK73" s="35">
        <f t="shared" ref="AK73:AK106" si="20">Q73+S73+U73+W73+Y73+AA73+AC73+AE73+AI73+AG73</f>
        <v>2970008</v>
      </c>
      <c r="AL73" s="35"/>
      <c r="AM73" s="35">
        <v>-217236</v>
      </c>
      <c r="AN73" s="35"/>
      <c r="AO73" s="35">
        <v>3394553</v>
      </c>
      <c r="AP73" s="35"/>
      <c r="AQ73" s="35">
        <v>3177317</v>
      </c>
      <c r="AS73" s="39">
        <f t="shared" ref="AS73:AS106" si="21">+M73-O73</f>
        <v>0</v>
      </c>
      <c r="AT73" s="39"/>
      <c r="AU73" s="39">
        <f t="shared" ref="AU73:AU106" si="22">+Q73+S73+U73+W73+Y73+AA73+AC73+AE73+AI73-AK73+AG73</f>
        <v>0</v>
      </c>
      <c r="AV73" s="39"/>
      <c r="AW73" s="39">
        <f t="shared" ref="AW73:AW106" si="23">+O73+AK73-AM73</f>
        <v>0</v>
      </c>
      <c r="AX73" s="39"/>
      <c r="AY73" s="39">
        <f t="shared" ref="AY73:AY106" si="24">+O73+AK73+AO73-AQ73</f>
        <v>0</v>
      </c>
    </row>
    <row r="74" spans="1:51" s="7" customFormat="1" ht="12" x14ac:dyDescent="0.2">
      <c r="A74" s="7" t="s">
        <v>323</v>
      </c>
      <c r="C74" s="7" t="s">
        <v>316</v>
      </c>
      <c r="E74" s="35">
        <v>7352320</v>
      </c>
      <c r="F74" s="35"/>
      <c r="G74" s="35">
        <v>223536</v>
      </c>
      <c r="H74" s="35"/>
      <c r="I74" s="35">
        <v>245469</v>
      </c>
      <c r="J74" s="35"/>
      <c r="K74" s="35">
        <v>237203</v>
      </c>
      <c r="L74" s="35"/>
      <c r="M74" s="35">
        <f t="shared" si="18"/>
        <v>-6646112</v>
      </c>
      <c r="N74" s="35"/>
      <c r="O74" s="35">
        <f t="shared" si="19"/>
        <v>-6646112</v>
      </c>
      <c r="P74" s="35"/>
      <c r="Q74" s="35">
        <f>1474931+101163</f>
        <v>1576094</v>
      </c>
      <c r="R74" s="35"/>
      <c r="S74" s="35">
        <v>2892842</v>
      </c>
      <c r="T74" s="35"/>
      <c r="U74" s="35">
        <v>611834</v>
      </c>
      <c r="V74" s="35"/>
      <c r="W74" s="35">
        <v>22058</v>
      </c>
      <c r="X74" s="35"/>
      <c r="Y74" s="35">
        <v>38820</v>
      </c>
      <c r="Z74" s="35"/>
      <c r="AA74" s="35">
        <v>156475</v>
      </c>
      <c r="AB74" s="35"/>
      <c r="AC74" s="35">
        <v>0</v>
      </c>
      <c r="AD74" s="35"/>
      <c r="AE74" s="35">
        <v>0</v>
      </c>
      <c r="AF74" s="35"/>
      <c r="AG74" s="35">
        <v>0</v>
      </c>
      <c r="AH74" s="35"/>
      <c r="AI74" s="35">
        <v>0</v>
      </c>
      <c r="AJ74" s="35"/>
      <c r="AK74" s="35">
        <f t="shared" si="20"/>
        <v>5298123</v>
      </c>
      <c r="AL74" s="35"/>
      <c r="AM74" s="35">
        <v>-1347989</v>
      </c>
      <c r="AN74" s="35"/>
      <c r="AO74" s="35">
        <v>8469028</v>
      </c>
      <c r="AP74" s="35"/>
      <c r="AQ74" s="35">
        <v>7121039</v>
      </c>
      <c r="AS74" s="39">
        <f t="shared" si="21"/>
        <v>0</v>
      </c>
      <c r="AT74" s="39"/>
      <c r="AU74" s="39">
        <f t="shared" si="22"/>
        <v>0</v>
      </c>
      <c r="AV74" s="39"/>
      <c r="AW74" s="39">
        <f t="shared" si="23"/>
        <v>0</v>
      </c>
      <c r="AX74" s="39"/>
      <c r="AY74" s="39">
        <f t="shared" si="24"/>
        <v>0</v>
      </c>
    </row>
    <row r="75" spans="1:51" s="7" customFormat="1" ht="12" x14ac:dyDescent="0.2">
      <c r="A75" s="7" t="s">
        <v>410</v>
      </c>
      <c r="C75" s="7" t="s">
        <v>409</v>
      </c>
      <c r="E75" s="35">
        <v>129038.38</v>
      </c>
      <c r="F75" s="35"/>
      <c r="G75" s="35">
        <v>6608.79</v>
      </c>
      <c r="H75" s="35"/>
      <c r="I75" s="35">
        <v>19009.53</v>
      </c>
      <c r="J75" s="35"/>
      <c r="K75" s="35">
        <v>0</v>
      </c>
      <c r="L75" s="35"/>
      <c r="M75" s="35">
        <f t="shared" si="18"/>
        <v>-103420.06</v>
      </c>
      <c r="N75" s="35"/>
      <c r="O75" s="35">
        <f t="shared" si="19"/>
        <v>-103420.06000000001</v>
      </c>
      <c r="P75" s="35"/>
      <c r="Q75" s="35">
        <v>63712.83</v>
      </c>
      <c r="R75" s="35"/>
      <c r="S75" s="35">
        <v>0</v>
      </c>
      <c r="T75" s="35"/>
      <c r="U75" s="35">
        <v>359.8</v>
      </c>
      <c r="V75" s="35"/>
      <c r="W75" s="35">
        <v>0</v>
      </c>
      <c r="X75" s="35"/>
      <c r="Y75" s="35">
        <v>0</v>
      </c>
      <c r="Z75" s="35"/>
      <c r="AA75" s="35">
        <v>11542.93</v>
      </c>
      <c r="AB75" s="35"/>
      <c r="AC75" s="35">
        <v>0</v>
      </c>
      <c r="AD75" s="35"/>
      <c r="AE75" s="35">
        <v>0</v>
      </c>
      <c r="AF75" s="35"/>
      <c r="AG75" s="35">
        <v>0</v>
      </c>
      <c r="AH75" s="35"/>
      <c r="AI75" s="35">
        <v>18297.63</v>
      </c>
      <c r="AJ75" s="35"/>
      <c r="AK75" s="35">
        <f t="shared" si="20"/>
        <v>93913.19</v>
      </c>
      <c r="AL75" s="35"/>
      <c r="AM75" s="35">
        <v>-9506.8700000000008</v>
      </c>
      <c r="AN75" s="35"/>
      <c r="AO75" s="35">
        <v>191555.91</v>
      </c>
      <c r="AP75" s="35"/>
      <c r="AQ75" s="35">
        <v>182049.04</v>
      </c>
      <c r="AS75" s="39">
        <f t="shared" si="21"/>
        <v>0</v>
      </c>
      <c r="AT75" s="39"/>
      <c r="AU75" s="39">
        <f t="shared" si="22"/>
        <v>0</v>
      </c>
      <c r="AV75" s="39"/>
      <c r="AW75" s="39">
        <f t="shared" si="23"/>
        <v>0</v>
      </c>
      <c r="AX75" s="39"/>
      <c r="AY75" s="39">
        <f t="shared" si="24"/>
        <v>0</v>
      </c>
    </row>
    <row r="76" spans="1:51" s="7" customFormat="1" ht="12" x14ac:dyDescent="0.2">
      <c r="A76" s="7" t="s">
        <v>546</v>
      </c>
      <c r="C76" s="7" t="s">
        <v>540</v>
      </c>
      <c r="E76" s="35">
        <v>1165853</v>
      </c>
      <c r="F76" s="35"/>
      <c r="G76" s="35">
        <v>115229</v>
      </c>
      <c r="H76" s="35"/>
      <c r="I76" s="35">
        <v>5900</v>
      </c>
      <c r="J76" s="35"/>
      <c r="K76" s="35">
        <v>99196</v>
      </c>
      <c r="L76" s="35"/>
      <c r="M76" s="35">
        <f t="shared" si="18"/>
        <v>-945528</v>
      </c>
      <c r="N76" s="35"/>
      <c r="O76" s="35">
        <f t="shared" si="19"/>
        <v>-945528</v>
      </c>
      <c r="P76" s="35"/>
      <c r="Q76" s="35">
        <v>90892</v>
      </c>
      <c r="R76" s="35"/>
      <c r="S76" s="35">
        <v>893203</v>
      </c>
      <c r="T76" s="35"/>
      <c r="U76" s="35">
        <v>42739</v>
      </c>
      <c r="V76" s="35"/>
      <c r="W76" s="35">
        <v>1657</v>
      </c>
      <c r="X76" s="35"/>
      <c r="Y76" s="35">
        <v>0</v>
      </c>
      <c r="Z76" s="35"/>
      <c r="AA76" s="35">
        <v>21352</v>
      </c>
      <c r="AB76" s="35"/>
      <c r="AC76" s="35">
        <v>0</v>
      </c>
      <c r="AD76" s="35"/>
      <c r="AE76" s="35">
        <f>865834-872000</f>
        <v>-6166</v>
      </c>
      <c r="AF76" s="35"/>
      <c r="AG76" s="35">
        <v>0</v>
      </c>
      <c r="AH76" s="35"/>
      <c r="AI76" s="35">
        <v>0</v>
      </c>
      <c r="AJ76" s="35"/>
      <c r="AK76" s="35">
        <f t="shared" si="20"/>
        <v>1043677</v>
      </c>
      <c r="AL76" s="35"/>
      <c r="AM76" s="35">
        <v>98149</v>
      </c>
      <c r="AN76" s="35"/>
      <c r="AO76" s="35">
        <v>1233314</v>
      </c>
      <c r="AP76" s="35"/>
      <c r="AQ76" s="35">
        <v>1331463</v>
      </c>
      <c r="AS76" s="39">
        <f t="shared" si="21"/>
        <v>0</v>
      </c>
      <c r="AT76" s="39"/>
      <c r="AU76" s="39">
        <f t="shared" si="22"/>
        <v>0</v>
      </c>
      <c r="AV76" s="39"/>
      <c r="AW76" s="39">
        <f t="shared" si="23"/>
        <v>0</v>
      </c>
      <c r="AX76" s="39"/>
      <c r="AY76" s="39">
        <f t="shared" si="24"/>
        <v>0</v>
      </c>
    </row>
    <row r="77" spans="1:51" s="7" customFormat="1" ht="12" x14ac:dyDescent="0.2">
      <c r="A77" s="7" t="s">
        <v>149</v>
      </c>
      <c r="C77" s="7" t="s">
        <v>780</v>
      </c>
      <c r="E77" s="35">
        <v>49397.16</v>
      </c>
      <c r="F77" s="35"/>
      <c r="G77" s="35">
        <v>0</v>
      </c>
      <c r="H77" s="35"/>
      <c r="I77" s="35">
        <v>19216.939999999999</v>
      </c>
      <c r="J77" s="35"/>
      <c r="K77" s="35">
        <v>716.54</v>
      </c>
      <c r="L77" s="35"/>
      <c r="M77" s="35">
        <f t="shared" si="18"/>
        <v>-29463.680000000004</v>
      </c>
      <c r="N77" s="35"/>
      <c r="O77" s="35">
        <f t="shared" si="19"/>
        <v>-29463.680000000004</v>
      </c>
      <c r="P77" s="35"/>
      <c r="Q77" s="35">
        <v>10409.630000000001</v>
      </c>
      <c r="R77" s="35"/>
      <c r="S77" s="35">
        <v>26351.91</v>
      </c>
      <c r="T77" s="35"/>
      <c r="U77" s="35">
        <v>8030.17</v>
      </c>
      <c r="V77" s="35"/>
      <c r="W77" s="35">
        <v>0</v>
      </c>
      <c r="X77" s="35"/>
      <c r="Y77" s="35">
        <v>0</v>
      </c>
      <c r="Z77" s="35"/>
      <c r="AA77" s="35">
        <v>47.82</v>
      </c>
      <c r="AB77" s="35"/>
      <c r="AC77" s="35">
        <v>0</v>
      </c>
      <c r="AD77" s="35"/>
      <c r="AE77" s="35">
        <v>-37.74</v>
      </c>
      <c r="AF77" s="35"/>
      <c r="AG77" s="35">
        <v>0</v>
      </c>
      <c r="AH77" s="35"/>
      <c r="AI77" s="35">
        <v>0</v>
      </c>
      <c r="AJ77" s="35"/>
      <c r="AK77" s="35">
        <f t="shared" si="20"/>
        <v>44801.79</v>
      </c>
      <c r="AL77" s="35"/>
      <c r="AM77" s="35">
        <v>15338.11</v>
      </c>
      <c r="AN77" s="35"/>
      <c r="AO77" s="35">
        <v>111499.35</v>
      </c>
      <c r="AP77" s="35"/>
      <c r="AQ77" s="35">
        <v>126837.46</v>
      </c>
      <c r="AS77" s="39">
        <f t="shared" si="21"/>
        <v>0</v>
      </c>
      <c r="AT77" s="39"/>
      <c r="AU77" s="39">
        <f t="shared" si="22"/>
        <v>0</v>
      </c>
      <c r="AV77" s="39"/>
      <c r="AW77" s="39">
        <f t="shared" si="23"/>
        <v>0</v>
      </c>
      <c r="AX77" s="39"/>
      <c r="AY77" s="39">
        <f t="shared" si="24"/>
        <v>0</v>
      </c>
    </row>
    <row r="78" spans="1:51" s="7" customFormat="1" ht="12" x14ac:dyDescent="0.2">
      <c r="A78" s="7" t="s">
        <v>277</v>
      </c>
      <c r="C78" s="7" t="s">
        <v>275</v>
      </c>
      <c r="E78" s="35">
        <v>3536064</v>
      </c>
      <c r="F78" s="35"/>
      <c r="G78" s="35">
        <v>150676</v>
      </c>
      <c r="H78" s="35"/>
      <c r="I78" s="35">
        <v>155000</v>
      </c>
      <c r="J78" s="35"/>
      <c r="K78" s="35">
        <v>0</v>
      </c>
      <c r="L78" s="35"/>
      <c r="M78" s="35">
        <f t="shared" si="18"/>
        <v>-3230388</v>
      </c>
      <c r="N78" s="35"/>
      <c r="O78" s="35">
        <f t="shared" si="19"/>
        <v>-3230388</v>
      </c>
      <c r="P78" s="35"/>
      <c r="Q78" s="35">
        <v>243485</v>
      </c>
      <c r="R78" s="35"/>
      <c r="S78" s="35">
        <v>2931085</v>
      </c>
      <c r="T78" s="35"/>
      <c r="U78" s="35">
        <v>121379</v>
      </c>
      <c r="V78" s="35"/>
      <c r="W78" s="35">
        <v>28375</v>
      </c>
      <c r="X78" s="35"/>
      <c r="Y78" s="35">
        <v>0</v>
      </c>
      <c r="Z78" s="35"/>
      <c r="AA78" s="35">
        <f>27745+100000</f>
        <v>127745</v>
      </c>
      <c r="AB78" s="35"/>
      <c r="AC78" s="35">
        <v>49771</v>
      </c>
      <c r="AD78" s="35"/>
      <c r="AE78" s="35">
        <v>-175000</v>
      </c>
      <c r="AF78" s="35"/>
      <c r="AG78" s="35">
        <v>0</v>
      </c>
      <c r="AH78" s="35"/>
      <c r="AI78" s="35">
        <v>0</v>
      </c>
      <c r="AJ78" s="35"/>
      <c r="AK78" s="35">
        <f t="shared" si="20"/>
        <v>3326840</v>
      </c>
      <c r="AL78" s="35"/>
      <c r="AM78" s="35">
        <v>96452</v>
      </c>
      <c r="AN78" s="35"/>
      <c r="AO78" s="35">
        <v>1802159</v>
      </c>
      <c r="AP78" s="35"/>
      <c r="AQ78" s="35">
        <v>1898611</v>
      </c>
      <c r="AS78" s="39">
        <f t="shared" si="21"/>
        <v>0</v>
      </c>
      <c r="AT78" s="39"/>
      <c r="AU78" s="39">
        <f t="shared" si="22"/>
        <v>0</v>
      </c>
      <c r="AV78" s="39"/>
      <c r="AW78" s="39">
        <f t="shared" si="23"/>
        <v>0</v>
      </c>
      <c r="AX78" s="39"/>
      <c r="AY78" s="39">
        <f t="shared" si="24"/>
        <v>0</v>
      </c>
    </row>
    <row r="79" spans="1:51" s="7" customFormat="1" ht="12" x14ac:dyDescent="0.2">
      <c r="A79" s="7" t="s">
        <v>12</v>
      </c>
      <c r="C79" s="7" t="s">
        <v>740</v>
      </c>
      <c r="E79" s="35">
        <v>438640.62</v>
      </c>
      <c r="F79" s="35"/>
      <c r="G79" s="35">
        <v>101654.9</v>
      </c>
      <c r="H79" s="35"/>
      <c r="I79" s="35">
        <v>40857.040000000001</v>
      </c>
      <c r="J79" s="35"/>
      <c r="K79" s="35">
        <v>10527</v>
      </c>
      <c r="L79" s="35"/>
      <c r="M79" s="35">
        <f t="shared" si="18"/>
        <v>-285601.68</v>
      </c>
      <c r="N79" s="35"/>
      <c r="O79" s="35">
        <f t="shared" si="19"/>
        <v>-285601.68</v>
      </c>
      <c r="P79" s="35"/>
      <c r="Q79" s="35">
        <v>86006.25</v>
      </c>
      <c r="R79" s="35"/>
      <c r="S79" s="35">
        <v>328931.28000000003</v>
      </c>
      <c r="T79" s="35"/>
      <c r="U79" s="35">
        <v>57841.08</v>
      </c>
      <c r="V79" s="35"/>
      <c r="W79" s="35">
        <v>3595.02</v>
      </c>
      <c r="X79" s="35"/>
      <c r="Y79" s="35">
        <v>0</v>
      </c>
      <c r="Z79" s="35"/>
      <c r="AA79" s="35">
        <v>17499.23</v>
      </c>
      <c r="AB79" s="35"/>
      <c r="AC79" s="35">
        <v>3087.82</v>
      </c>
      <c r="AD79" s="35"/>
      <c r="AE79" s="35">
        <v>-33681.949999999997</v>
      </c>
      <c r="AF79" s="35"/>
      <c r="AG79" s="35">
        <v>0</v>
      </c>
      <c r="AH79" s="35"/>
      <c r="AI79" s="35">
        <v>0</v>
      </c>
      <c r="AJ79" s="35"/>
      <c r="AK79" s="35">
        <f t="shared" si="20"/>
        <v>463278.73000000004</v>
      </c>
      <c r="AL79" s="35"/>
      <c r="AM79" s="35">
        <v>177677.05</v>
      </c>
      <c r="AN79" s="35"/>
      <c r="AO79" s="35">
        <v>543370.43999999994</v>
      </c>
      <c r="AP79" s="35"/>
      <c r="AQ79" s="35">
        <v>721047.49</v>
      </c>
      <c r="AS79" s="39">
        <f t="shared" si="21"/>
        <v>0</v>
      </c>
      <c r="AT79" s="39"/>
      <c r="AU79" s="39">
        <f t="shared" si="22"/>
        <v>0</v>
      </c>
      <c r="AV79" s="39"/>
      <c r="AW79" s="39">
        <f t="shared" si="23"/>
        <v>0</v>
      </c>
      <c r="AX79" s="39"/>
      <c r="AY79" s="39">
        <f t="shared" si="24"/>
        <v>0</v>
      </c>
    </row>
    <row r="80" spans="1:51" s="7" customFormat="1" ht="12" x14ac:dyDescent="0.2">
      <c r="A80" s="7" t="s">
        <v>963</v>
      </c>
      <c r="C80" s="7" t="s">
        <v>500</v>
      </c>
      <c r="E80" s="35">
        <v>2676220</v>
      </c>
      <c r="F80" s="35"/>
      <c r="G80" s="35">
        <v>731692</v>
      </c>
      <c r="H80" s="35"/>
      <c r="I80" s="35">
        <v>215478</v>
      </c>
      <c r="J80" s="35"/>
      <c r="K80" s="35">
        <v>170139</v>
      </c>
      <c r="L80" s="35"/>
      <c r="M80" s="35">
        <f t="shared" si="18"/>
        <v>-1558911</v>
      </c>
      <c r="N80" s="35"/>
      <c r="O80" s="35">
        <f t="shared" si="19"/>
        <v>-1558911</v>
      </c>
      <c r="P80" s="35"/>
      <c r="Q80" s="35">
        <f>58966+65352+25299+12650</f>
        <v>162267</v>
      </c>
      <c r="R80" s="35"/>
      <c r="S80" s="35">
        <v>831416</v>
      </c>
      <c r="T80" s="35"/>
      <c r="U80" s="35">
        <v>254690</v>
      </c>
      <c r="V80" s="35"/>
      <c r="W80" s="35">
        <v>2320</v>
      </c>
      <c r="X80" s="35"/>
      <c r="Y80" s="35">
        <v>0</v>
      </c>
      <c r="Z80" s="35"/>
      <c r="AA80" s="35">
        <f>29143+28178+21772</f>
        <v>79093</v>
      </c>
      <c r="AB80" s="35"/>
      <c r="AC80" s="35">
        <v>200430</v>
      </c>
      <c r="AD80" s="35"/>
      <c r="AE80" s="35">
        <v>0</v>
      </c>
      <c r="AF80" s="35"/>
      <c r="AG80" s="35">
        <v>0</v>
      </c>
      <c r="AH80" s="35"/>
      <c r="AI80" s="35">
        <v>0</v>
      </c>
      <c r="AJ80" s="35"/>
      <c r="AK80" s="35">
        <f t="shared" si="20"/>
        <v>1530216</v>
      </c>
      <c r="AL80" s="35"/>
      <c r="AM80" s="35">
        <v>-28695</v>
      </c>
      <c r="AN80" s="35"/>
      <c r="AO80" s="35">
        <v>-390880</v>
      </c>
      <c r="AP80" s="35"/>
      <c r="AQ80" s="35">
        <v>-419575</v>
      </c>
      <c r="AS80" s="39">
        <f t="shared" si="21"/>
        <v>0</v>
      </c>
      <c r="AT80" s="39"/>
      <c r="AU80" s="39">
        <f t="shared" si="22"/>
        <v>0</v>
      </c>
      <c r="AV80" s="39"/>
      <c r="AW80" s="39">
        <f t="shared" si="23"/>
        <v>0</v>
      </c>
      <c r="AX80" s="39"/>
      <c r="AY80" s="39">
        <f t="shared" si="24"/>
        <v>0</v>
      </c>
    </row>
    <row r="81" spans="1:51" s="7" customFormat="1" ht="12" x14ac:dyDescent="0.2">
      <c r="A81" s="7" t="s">
        <v>145</v>
      </c>
      <c r="C81" s="7" t="s">
        <v>779</v>
      </c>
      <c r="E81" s="35">
        <v>951109.26</v>
      </c>
      <c r="F81" s="35"/>
      <c r="G81" s="35">
        <v>78287.42</v>
      </c>
      <c r="H81" s="35"/>
      <c r="I81" s="35">
        <v>169459.73</v>
      </c>
      <c r="J81" s="35"/>
      <c r="K81" s="35">
        <v>0</v>
      </c>
      <c r="L81" s="35"/>
      <c r="M81" s="35">
        <f t="shared" si="18"/>
        <v>-703362.11</v>
      </c>
      <c r="N81" s="35"/>
      <c r="O81" s="35">
        <f t="shared" si="19"/>
        <v>-703362.11</v>
      </c>
      <c r="P81" s="35"/>
      <c r="Q81" s="35">
        <v>380911.02</v>
      </c>
      <c r="R81" s="35"/>
      <c r="S81" s="35">
        <v>0</v>
      </c>
      <c r="T81" s="35"/>
      <c r="U81" s="35">
        <v>219616.96</v>
      </c>
      <c r="V81" s="35"/>
      <c r="W81" s="35">
        <v>149.05000000000001</v>
      </c>
      <c r="X81" s="35"/>
      <c r="Y81" s="35">
        <v>0</v>
      </c>
      <c r="Z81" s="35"/>
      <c r="AA81" s="35">
        <v>88688.29</v>
      </c>
      <c r="AB81" s="35"/>
      <c r="AC81" s="35">
        <v>0</v>
      </c>
      <c r="AD81" s="35"/>
      <c r="AE81" s="35">
        <v>0</v>
      </c>
      <c r="AF81" s="35"/>
      <c r="AG81" s="35">
        <v>0</v>
      </c>
      <c r="AH81" s="35"/>
      <c r="AI81" s="35">
        <v>0</v>
      </c>
      <c r="AJ81" s="35"/>
      <c r="AK81" s="35">
        <f t="shared" si="20"/>
        <v>689365.32000000007</v>
      </c>
      <c r="AL81" s="35"/>
      <c r="AM81" s="35">
        <v>-13996.79</v>
      </c>
      <c r="AN81" s="35"/>
      <c r="AO81" s="35">
        <v>582156.06999999995</v>
      </c>
      <c r="AP81" s="35"/>
      <c r="AQ81" s="35">
        <v>568159.28</v>
      </c>
      <c r="AS81" s="39">
        <f t="shared" si="21"/>
        <v>0</v>
      </c>
      <c r="AT81" s="39"/>
      <c r="AU81" s="39">
        <f t="shared" si="22"/>
        <v>0</v>
      </c>
      <c r="AV81" s="39"/>
      <c r="AW81" s="39">
        <f t="shared" si="23"/>
        <v>8.0035533756017685E-11</v>
      </c>
      <c r="AX81" s="39"/>
      <c r="AY81" s="39">
        <f t="shared" si="24"/>
        <v>0</v>
      </c>
    </row>
    <row r="82" spans="1:51" s="1" customFormat="1" ht="12" x14ac:dyDescent="0.2">
      <c r="A82" s="7" t="s">
        <v>841</v>
      </c>
      <c r="B82" s="7"/>
      <c r="C82" s="7" t="s">
        <v>305</v>
      </c>
      <c r="D82" s="7"/>
      <c r="E82" s="35">
        <v>486153.76</v>
      </c>
      <c r="F82" s="35"/>
      <c r="G82" s="35">
        <v>116253.7</v>
      </c>
      <c r="H82" s="35"/>
      <c r="I82" s="35">
        <v>59792.78</v>
      </c>
      <c r="J82" s="35"/>
      <c r="K82" s="35">
        <v>0</v>
      </c>
      <c r="L82" s="35"/>
      <c r="M82" s="35">
        <f t="shared" si="18"/>
        <v>-310107.28000000003</v>
      </c>
      <c r="N82" s="35"/>
      <c r="O82" s="35">
        <f t="shared" si="19"/>
        <v>-310107.28000000003</v>
      </c>
      <c r="P82" s="35"/>
      <c r="Q82" s="35">
        <v>72044.639999999999</v>
      </c>
      <c r="R82" s="35"/>
      <c r="S82" s="35">
        <v>0</v>
      </c>
      <c r="T82" s="35"/>
      <c r="U82" s="35">
        <v>30213.05</v>
      </c>
      <c r="V82" s="35"/>
      <c r="W82" s="35">
        <v>888.02</v>
      </c>
      <c r="X82" s="35"/>
      <c r="Y82" s="35">
        <v>19130.439999999999</v>
      </c>
      <c r="Z82" s="35"/>
      <c r="AA82" s="35">
        <v>75712.53</v>
      </c>
      <c r="AB82" s="35"/>
      <c r="AC82" s="35">
        <v>0</v>
      </c>
      <c r="AD82" s="35"/>
      <c r="AE82" s="35">
        <v>133501</v>
      </c>
      <c r="AF82" s="35"/>
      <c r="AG82" s="35">
        <v>0</v>
      </c>
      <c r="AH82" s="35"/>
      <c r="AI82" s="35">
        <v>0</v>
      </c>
      <c r="AJ82" s="35"/>
      <c r="AK82" s="35">
        <f t="shared" si="20"/>
        <v>331489.68</v>
      </c>
      <c r="AL82" s="35"/>
      <c r="AM82" s="35">
        <v>21382.400000000001</v>
      </c>
      <c r="AN82" s="35"/>
      <c r="AO82" s="35">
        <v>253220.72</v>
      </c>
      <c r="AP82" s="35"/>
      <c r="AQ82" s="35">
        <v>274603.12</v>
      </c>
      <c r="AR82" s="7"/>
      <c r="AS82" s="39">
        <f t="shared" si="21"/>
        <v>0</v>
      </c>
      <c r="AT82" s="39"/>
      <c r="AU82" s="39">
        <f t="shared" si="22"/>
        <v>0</v>
      </c>
      <c r="AV82" s="39"/>
      <c r="AW82" s="39">
        <f t="shared" si="23"/>
        <v>-3.637978807091713E-11</v>
      </c>
      <c r="AX82" s="39"/>
      <c r="AY82" s="39">
        <f t="shared" si="24"/>
        <v>0</v>
      </c>
    </row>
    <row r="83" spans="1:51" s="7" customFormat="1" ht="12" x14ac:dyDescent="0.2">
      <c r="A83" s="7" t="s">
        <v>564</v>
      </c>
      <c r="C83" s="7" t="s">
        <v>806</v>
      </c>
      <c r="E83" s="35">
        <v>1931059</v>
      </c>
      <c r="F83" s="35"/>
      <c r="G83" s="35">
        <v>114572</v>
      </c>
      <c r="H83" s="35"/>
      <c r="I83" s="35">
        <v>183316</v>
      </c>
      <c r="J83" s="35"/>
      <c r="K83" s="35">
        <v>50</v>
      </c>
      <c r="L83" s="35"/>
      <c r="M83" s="35">
        <f t="shared" si="18"/>
        <v>-1633121</v>
      </c>
      <c r="N83" s="35"/>
      <c r="O83" s="35">
        <f t="shared" si="19"/>
        <v>-1633121</v>
      </c>
      <c r="P83" s="35"/>
      <c r="Q83" s="35">
        <f>142137+14801</f>
        <v>156938</v>
      </c>
      <c r="R83" s="35"/>
      <c r="S83" s="35">
        <f>724064+341033+10000</f>
        <v>1075097</v>
      </c>
      <c r="T83" s="35"/>
      <c r="U83" s="35">
        <v>183987</v>
      </c>
      <c r="V83" s="35"/>
      <c r="W83" s="35">
        <v>1436</v>
      </c>
      <c r="X83" s="35"/>
      <c r="Y83" s="35">
        <v>0</v>
      </c>
      <c r="Z83" s="35"/>
      <c r="AA83" s="35">
        <v>36758</v>
      </c>
      <c r="AB83" s="35"/>
      <c r="AC83" s="35">
        <v>0</v>
      </c>
      <c r="AD83" s="35"/>
      <c r="AE83" s="35">
        <v>0</v>
      </c>
      <c r="AF83" s="35"/>
      <c r="AG83" s="35">
        <v>0</v>
      </c>
      <c r="AH83" s="35"/>
      <c r="AI83" s="35">
        <v>0</v>
      </c>
      <c r="AJ83" s="35"/>
      <c r="AK83" s="35">
        <f t="shared" si="20"/>
        <v>1454216</v>
      </c>
      <c r="AL83" s="35"/>
      <c r="AM83" s="35">
        <v>-178905</v>
      </c>
      <c r="AN83" s="35"/>
      <c r="AO83" s="35">
        <v>688345</v>
      </c>
      <c r="AP83" s="35"/>
      <c r="AQ83" s="35">
        <v>509440</v>
      </c>
      <c r="AS83" s="39">
        <f t="shared" si="21"/>
        <v>0</v>
      </c>
      <c r="AT83" s="39"/>
      <c r="AU83" s="39">
        <f t="shared" si="22"/>
        <v>0</v>
      </c>
      <c r="AV83" s="39"/>
      <c r="AW83" s="39">
        <f t="shared" si="23"/>
        <v>0</v>
      </c>
      <c r="AX83" s="39"/>
      <c r="AY83" s="39">
        <f t="shared" si="24"/>
        <v>0</v>
      </c>
    </row>
    <row r="84" spans="1:51" s="7" customFormat="1" ht="12" x14ac:dyDescent="0.2">
      <c r="A84" s="7" t="s">
        <v>97</v>
      </c>
      <c r="C84" s="7" t="s">
        <v>378</v>
      </c>
      <c r="E84" s="35">
        <v>544117.55000000005</v>
      </c>
      <c r="F84" s="35"/>
      <c r="G84" s="35">
        <v>565</v>
      </c>
      <c r="H84" s="35"/>
      <c r="I84" s="35">
        <v>125996.47</v>
      </c>
      <c r="J84" s="35"/>
      <c r="K84" s="35">
        <v>3589.6</v>
      </c>
      <c r="L84" s="35"/>
      <c r="M84" s="35">
        <f t="shared" si="18"/>
        <v>-413966.48000000004</v>
      </c>
      <c r="N84" s="35"/>
      <c r="O84" s="35">
        <f t="shared" si="19"/>
        <v>-413966.4800000001</v>
      </c>
      <c r="P84" s="35"/>
      <c r="Q84" s="35">
        <v>364733.87000000005</v>
      </c>
      <c r="R84" s="35"/>
      <c r="S84" s="35">
        <v>0</v>
      </c>
      <c r="T84" s="35"/>
      <c r="U84" s="35">
        <v>17945.5</v>
      </c>
      <c r="V84" s="35"/>
      <c r="W84" s="35">
        <v>0</v>
      </c>
      <c r="X84" s="35"/>
      <c r="Y84" s="35">
        <v>18136.18</v>
      </c>
      <c r="Z84" s="35"/>
      <c r="AA84" s="35">
        <v>1781.96</v>
      </c>
      <c r="AB84" s="35"/>
      <c r="AC84" s="35">
        <v>0</v>
      </c>
      <c r="AD84" s="35"/>
      <c r="AE84" s="35">
        <v>-4000</v>
      </c>
      <c r="AF84" s="35"/>
      <c r="AG84" s="35">
        <v>0</v>
      </c>
      <c r="AH84" s="35"/>
      <c r="AI84" s="35">
        <v>0</v>
      </c>
      <c r="AJ84" s="35"/>
      <c r="AK84" s="35">
        <f t="shared" si="20"/>
        <v>398597.51000000007</v>
      </c>
      <c r="AL84" s="35"/>
      <c r="AM84" s="35">
        <v>-15368.97</v>
      </c>
      <c r="AN84" s="35"/>
      <c r="AO84" s="35">
        <v>887279.84</v>
      </c>
      <c r="AP84" s="35"/>
      <c r="AQ84" s="35">
        <v>871910.87</v>
      </c>
      <c r="AS84" s="39">
        <f t="shared" si="21"/>
        <v>0</v>
      </c>
      <c r="AT84" s="39"/>
      <c r="AU84" s="39">
        <f t="shared" si="22"/>
        <v>0</v>
      </c>
      <c r="AV84" s="39"/>
      <c r="AW84" s="39">
        <f t="shared" si="23"/>
        <v>-3.092281986027956E-11</v>
      </c>
      <c r="AX84" s="39"/>
      <c r="AY84" s="39">
        <f t="shared" si="24"/>
        <v>0</v>
      </c>
    </row>
    <row r="85" spans="1:51" s="7" customFormat="1" ht="12" x14ac:dyDescent="0.2">
      <c r="A85" s="7" t="s">
        <v>494</v>
      </c>
      <c r="C85" s="7" t="s">
        <v>791</v>
      </c>
      <c r="E85" s="35">
        <v>1456181</v>
      </c>
      <c r="F85" s="35"/>
      <c r="G85" s="35">
        <v>95146</v>
      </c>
      <c r="H85" s="35"/>
      <c r="I85" s="35">
        <v>158860</v>
      </c>
      <c r="J85" s="35"/>
      <c r="K85" s="35">
        <v>0</v>
      </c>
      <c r="L85" s="35"/>
      <c r="M85" s="35">
        <f t="shared" si="18"/>
        <v>-1202175</v>
      </c>
      <c r="N85" s="35"/>
      <c r="O85" s="35">
        <f t="shared" si="19"/>
        <v>-1202175</v>
      </c>
      <c r="P85" s="35"/>
      <c r="Q85" s="35">
        <f>139420+95044</f>
        <v>234464</v>
      </c>
      <c r="R85" s="35"/>
      <c r="S85" s="35">
        <v>639168</v>
      </c>
      <c r="T85" s="35"/>
      <c r="U85" s="35">
        <v>173714</v>
      </c>
      <c r="V85" s="35"/>
      <c r="W85" s="35">
        <v>75473</v>
      </c>
      <c r="X85" s="35"/>
      <c r="Y85" s="35">
        <v>21711</v>
      </c>
      <c r="Z85" s="35"/>
      <c r="AA85" s="35">
        <f>107779+8023</f>
        <v>115802</v>
      </c>
      <c r="AB85" s="35"/>
      <c r="AC85" s="35">
        <v>0</v>
      </c>
      <c r="AD85" s="35"/>
      <c r="AE85" s="35">
        <v>0</v>
      </c>
      <c r="AF85" s="35"/>
      <c r="AG85" s="35">
        <v>0</v>
      </c>
      <c r="AH85" s="35"/>
      <c r="AI85" s="35">
        <v>0</v>
      </c>
      <c r="AJ85" s="35"/>
      <c r="AK85" s="35">
        <f t="shared" si="20"/>
        <v>1260332</v>
      </c>
      <c r="AL85" s="35"/>
      <c r="AM85" s="35">
        <v>58157</v>
      </c>
      <c r="AN85" s="35"/>
      <c r="AO85" s="35">
        <v>1301076</v>
      </c>
      <c r="AP85" s="35"/>
      <c r="AQ85" s="35">
        <v>1359233</v>
      </c>
      <c r="AS85" s="39">
        <f t="shared" si="21"/>
        <v>0</v>
      </c>
      <c r="AT85" s="39"/>
      <c r="AU85" s="39">
        <f t="shared" si="22"/>
        <v>0</v>
      </c>
      <c r="AV85" s="39"/>
      <c r="AW85" s="39">
        <f t="shared" si="23"/>
        <v>0</v>
      </c>
      <c r="AX85" s="39"/>
      <c r="AY85" s="39">
        <f t="shared" si="24"/>
        <v>0</v>
      </c>
    </row>
    <row r="86" spans="1:51" s="7" customFormat="1" ht="12" x14ac:dyDescent="0.2">
      <c r="A86" s="7" t="s">
        <v>325</v>
      </c>
      <c r="C86" s="7" t="s">
        <v>316</v>
      </c>
      <c r="E86" s="35">
        <v>17433774</v>
      </c>
      <c r="F86" s="35"/>
      <c r="G86" s="35">
        <v>797237</v>
      </c>
      <c r="H86" s="35"/>
      <c r="I86" s="35">
        <v>1046144</v>
      </c>
      <c r="J86" s="35"/>
      <c r="K86" s="35">
        <v>0</v>
      </c>
      <c r="L86" s="35"/>
      <c r="M86" s="35">
        <f t="shared" si="18"/>
        <v>-15590393</v>
      </c>
      <c r="N86" s="35"/>
      <c r="O86" s="35">
        <f t="shared" si="19"/>
        <v>-15590393</v>
      </c>
      <c r="P86" s="35"/>
      <c r="Q86" s="35">
        <f>305618+60408+34440</f>
        <v>400466</v>
      </c>
      <c r="R86" s="35"/>
      <c r="S86" s="35">
        <v>5499518</v>
      </c>
      <c r="T86" s="35"/>
      <c r="U86" s="35">
        <v>222636</v>
      </c>
      <c r="V86" s="35"/>
      <c r="W86" s="35">
        <v>56</v>
      </c>
      <c r="X86" s="35"/>
      <c r="Y86" s="35">
        <v>0</v>
      </c>
      <c r="Z86" s="35"/>
      <c r="AA86" s="35">
        <v>311307</v>
      </c>
      <c r="AB86" s="35"/>
      <c r="AC86" s="35">
        <v>9220828</v>
      </c>
      <c r="AD86" s="35"/>
      <c r="AE86" s="35">
        <v>0</v>
      </c>
      <c r="AF86" s="35"/>
      <c r="AG86" s="35">
        <v>0</v>
      </c>
      <c r="AH86" s="35"/>
      <c r="AI86" s="35">
        <v>0</v>
      </c>
      <c r="AJ86" s="35"/>
      <c r="AK86" s="35">
        <f t="shared" si="20"/>
        <v>15654811</v>
      </c>
      <c r="AL86" s="35"/>
      <c r="AM86" s="35">
        <v>64418</v>
      </c>
      <c r="AN86" s="35"/>
      <c r="AO86" s="35">
        <v>271793</v>
      </c>
      <c r="AP86" s="35"/>
      <c r="AQ86" s="35">
        <v>336211</v>
      </c>
      <c r="AS86" s="39">
        <f t="shared" si="21"/>
        <v>0</v>
      </c>
      <c r="AT86" s="39"/>
      <c r="AU86" s="39">
        <f t="shared" si="22"/>
        <v>0</v>
      </c>
      <c r="AV86" s="39"/>
      <c r="AW86" s="39">
        <f t="shared" si="23"/>
        <v>0</v>
      </c>
      <c r="AX86" s="39"/>
      <c r="AY86" s="39">
        <f t="shared" si="24"/>
        <v>0</v>
      </c>
    </row>
    <row r="87" spans="1:51" s="7" customFormat="1" ht="12" x14ac:dyDescent="0.2">
      <c r="A87" s="7" t="s">
        <v>75</v>
      </c>
      <c r="C87" s="7" t="s">
        <v>353</v>
      </c>
      <c r="E87" s="35">
        <v>20154074.489999998</v>
      </c>
      <c r="F87" s="35"/>
      <c r="G87" s="35">
        <v>521528.8</v>
      </c>
      <c r="H87" s="35"/>
      <c r="I87" s="35">
        <v>287372.09999999998</v>
      </c>
      <c r="J87" s="35"/>
      <c r="K87" s="35">
        <v>6344208</v>
      </c>
      <c r="L87" s="35"/>
      <c r="M87" s="35">
        <f t="shared" si="18"/>
        <v>-13000965.589999998</v>
      </c>
      <c r="N87" s="35"/>
      <c r="O87" s="35">
        <f t="shared" si="19"/>
        <v>-13000965.589999996</v>
      </c>
      <c r="P87" s="35"/>
      <c r="Q87" s="35">
        <v>747785.89</v>
      </c>
      <c r="R87" s="35"/>
      <c r="S87" s="35">
        <v>4606513.2699999996</v>
      </c>
      <c r="T87" s="35"/>
      <c r="U87" s="35">
        <v>1155895</v>
      </c>
      <c r="V87" s="35"/>
      <c r="W87" s="35">
        <v>26752.67</v>
      </c>
      <c r="X87" s="35"/>
      <c r="Y87" s="35">
        <v>29196.06</v>
      </c>
      <c r="Z87" s="35"/>
      <c r="AA87" s="35">
        <v>2642742.14</v>
      </c>
      <c r="AB87" s="35"/>
      <c r="AC87" s="35">
        <v>6333473.3499999996</v>
      </c>
      <c r="AD87" s="35"/>
      <c r="AE87" s="35">
        <v>0</v>
      </c>
      <c r="AF87" s="35"/>
      <c r="AG87" s="35">
        <v>0</v>
      </c>
      <c r="AH87" s="35"/>
      <c r="AI87" s="35">
        <v>0</v>
      </c>
      <c r="AJ87" s="35"/>
      <c r="AK87" s="35">
        <f t="shared" si="20"/>
        <v>15542358.379999999</v>
      </c>
      <c r="AL87" s="35"/>
      <c r="AM87" s="35">
        <v>2541392.79</v>
      </c>
      <c r="AN87" s="35"/>
      <c r="AO87" s="35">
        <v>4640052.37</v>
      </c>
      <c r="AP87" s="35"/>
      <c r="AQ87" s="35">
        <v>7181445.1600000001</v>
      </c>
      <c r="AS87" s="39">
        <f t="shared" si="21"/>
        <v>0</v>
      </c>
      <c r="AT87" s="39"/>
      <c r="AU87" s="39">
        <f t="shared" si="22"/>
        <v>0</v>
      </c>
      <c r="AV87" s="39"/>
      <c r="AW87" s="39">
        <f t="shared" si="23"/>
        <v>0</v>
      </c>
      <c r="AX87" s="39"/>
      <c r="AY87" s="39">
        <f t="shared" si="24"/>
        <v>0</v>
      </c>
    </row>
    <row r="88" spans="1:51" s="7" customFormat="1" ht="12" x14ac:dyDescent="0.2">
      <c r="A88" s="39" t="s">
        <v>207</v>
      </c>
      <c r="B88" s="39"/>
      <c r="C88" s="39" t="s">
        <v>797</v>
      </c>
      <c r="D88" s="39"/>
      <c r="E88" s="35">
        <v>6085861.4400000004</v>
      </c>
      <c r="F88" s="35"/>
      <c r="G88" s="35">
        <v>293655.76</v>
      </c>
      <c r="H88" s="35"/>
      <c r="I88" s="35">
        <v>46315.8</v>
      </c>
      <c r="J88" s="35"/>
      <c r="K88" s="35">
        <v>939364.94</v>
      </c>
      <c r="L88" s="35"/>
      <c r="M88" s="35">
        <f t="shared" si="18"/>
        <v>-4806524.9400000004</v>
      </c>
      <c r="N88" s="35"/>
      <c r="O88" s="35">
        <f t="shared" si="19"/>
        <v>-4806524.9400000013</v>
      </c>
      <c r="P88" s="35"/>
      <c r="Q88" s="35">
        <v>222438.53</v>
      </c>
      <c r="R88" s="35"/>
      <c r="S88" s="35">
        <v>1451480.54</v>
      </c>
      <c r="T88" s="35"/>
      <c r="U88" s="35">
        <v>386840.43</v>
      </c>
      <c r="V88" s="35"/>
      <c r="W88" s="35">
        <v>29087.19</v>
      </c>
      <c r="X88" s="35"/>
      <c r="Y88" s="35">
        <v>0</v>
      </c>
      <c r="Z88" s="35"/>
      <c r="AA88" s="35">
        <v>1224972.1299999999</v>
      </c>
      <c r="AB88" s="35"/>
      <c r="AC88" s="35">
        <v>0</v>
      </c>
      <c r="AD88" s="35"/>
      <c r="AE88" s="35">
        <v>0</v>
      </c>
      <c r="AF88" s="35"/>
      <c r="AG88" s="35">
        <v>0</v>
      </c>
      <c r="AH88" s="35"/>
      <c r="AI88" s="35">
        <v>0</v>
      </c>
      <c r="AJ88" s="35"/>
      <c r="AK88" s="35">
        <f t="shared" si="20"/>
        <v>3314818.82</v>
      </c>
      <c r="AL88" s="35"/>
      <c r="AM88" s="35">
        <v>-1491706.12</v>
      </c>
      <c r="AN88" s="35"/>
      <c r="AO88" s="35">
        <v>6424188.7199999997</v>
      </c>
      <c r="AP88" s="35"/>
      <c r="AQ88" s="35">
        <v>4932482.5999999996</v>
      </c>
      <c r="AR88" s="39"/>
      <c r="AS88" s="39">
        <f t="shared" si="21"/>
        <v>0</v>
      </c>
      <c r="AT88" s="39"/>
      <c r="AU88" s="39">
        <f t="shared" si="22"/>
        <v>0</v>
      </c>
      <c r="AV88" s="39"/>
      <c r="AW88" s="39">
        <f t="shared" si="23"/>
        <v>0</v>
      </c>
      <c r="AX88" s="39"/>
      <c r="AY88" s="39">
        <f t="shared" si="24"/>
        <v>0</v>
      </c>
    </row>
    <row r="89" spans="1:51" s="7" customFormat="1" ht="12" x14ac:dyDescent="0.2">
      <c r="A89" s="41" t="s">
        <v>456</v>
      </c>
      <c r="B89" s="41"/>
      <c r="C89" s="41" t="s">
        <v>455</v>
      </c>
      <c r="D89" s="41"/>
      <c r="E89" s="35">
        <v>10114432</v>
      </c>
      <c r="F89" s="35"/>
      <c r="G89" s="35">
        <v>222338</v>
      </c>
      <c r="H89" s="35"/>
      <c r="I89" s="35">
        <v>278355</v>
      </c>
      <c r="J89" s="35"/>
      <c r="K89" s="35">
        <v>267557</v>
      </c>
      <c r="L89" s="35"/>
      <c r="M89" s="35">
        <f t="shared" si="18"/>
        <v>-9346182</v>
      </c>
      <c r="N89" s="35"/>
      <c r="O89" s="35">
        <f t="shared" si="19"/>
        <v>-9346182</v>
      </c>
      <c r="P89" s="35"/>
      <c r="Q89" s="35">
        <f>497660+42713+42713+46176</f>
        <v>629262</v>
      </c>
      <c r="R89" s="35"/>
      <c r="S89" s="35">
        <v>3885567</v>
      </c>
      <c r="T89" s="35"/>
      <c r="U89" s="35">
        <v>825285</v>
      </c>
      <c r="V89" s="35"/>
      <c r="W89" s="35">
        <v>62791</v>
      </c>
      <c r="X89" s="35"/>
      <c r="Y89" s="35">
        <v>0</v>
      </c>
      <c r="Z89" s="35"/>
      <c r="AA89" s="35">
        <v>129168</v>
      </c>
      <c r="AB89" s="35"/>
      <c r="AC89" s="35">
        <v>0</v>
      </c>
      <c r="AD89" s="35"/>
      <c r="AE89" s="35">
        <v>0</v>
      </c>
      <c r="AF89" s="35"/>
      <c r="AG89" s="35">
        <v>0</v>
      </c>
      <c r="AH89" s="35"/>
      <c r="AI89" s="35">
        <v>0</v>
      </c>
      <c r="AJ89" s="35"/>
      <c r="AK89" s="35">
        <f t="shared" si="20"/>
        <v>5532073</v>
      </c>
      <c r="AL89" s="35"/>
      <c r="AM89" s="35">
        <v>-3814109</v>
      </c>
      <c r="AN89" s="35"/>
      <c r="AO89" s="35">
        <v>12679620</v>
      </c>
      <c r="AP89" s="35"/>
      <c r="AQ89" s="35">
        <v>8865511</v>
      </c>
      <c r="AR89" s="41"/>
      <c r="AS89" s="39">
        <f t="shared" si="21"/>
        <v>0</v>
      </c>
      <c r="AT89" s="41"/>
      <c r="AU89" s="39">
        <f t="shared" si="22"/>
        <v>0</v>
      </c>
      <c r="AV89" s="41"/>
      <c r="AW89" s="39">
        <f t="shared" si="23"/>
        <v>0</v>
      </c>
      <c r="AX89" s="41"/>
      <c r="AY89" s="39">
        <f t="shared" si="24"/>
        <v>0</v>
      </c>
    </row>
    <row r="90" spans="1:51" s="7" customFormat="1" ht="12" x14ac:dyDescent="0.2">
      <c r="A90" s="7" t="s">
        <v>216</v>
      </c>
      <c r="C90" s="7" t="s">
        <v>801</v>
      </c>
      <c r="E90" s="35">
        <v>233727.01</v>
      </c>
      <c r="F90" s="35"/>
      <c r="G90" s="35">
        <v>54106.95</v>
      </c>
      <c r="H90" s="35"/>
      <c r="I90" s="35">
        <v>3770.46</v>
      </c>
      <c r="J90" s="35"/>
      <c r="K90" s="35">
        <v>0</v>
      </c>
      <c r="L90" s="35"/>
      <c r="M90" s="35">
        <f t="shared" si="18"/>
        <v>-175849.60000000001</v>
      </c>
      <c r="N90" s="35"/>
      <c r="O90" s="35">
        <f t="shared" si="19"/>
        <v>-175849.60000000001</v>
      </c>
      <c r="P90" s="35"/>
      <c r="Q90" s="35">
        <v>29870.12</v>
      </c>
      <c r="R90" s="35"/>
      <c r="S90" s="35">
        <v>0</v>
      </c>
      <c r="T90" s="35"/>
      <c r="U90" s="35">
        <v>2554.92</v>
      </c>
      <c r="V90" s="35"/>
      <c r="W90" s="35">
        <v>589.29999999999995</v>
      </c>
      <c r="X90" s="35"/>
      <c r="Y90" s="35">
        <v>0</v>
      </c>
      <c r="Z90" s="35"/>
      <c r="AA90" s="35">
        <v>240522.71</v>
      </c>
      <c r="AB90" s="35"/>
      <c r="AC90" s="35">
        <v>0</v>
      </c>
      <c r="AD90" s="35"/>
      <c r="AE90" s="35">
        <v>0</v>
      </c>
      <c r="AF90" s="35"/>
      <c r="AG90" s="35">
        <v>0</v>
      </c>
      <c r="AH90" s="35"/>
      <c r="AI90" s="35">
        <v>0</v>
      </c>
      <c r="AJ90" s="35"/>
      <c r="AK90" s="35">
        <f t="shared" si="20"/>
        <v>273537.05</v>
      </c>
      <c r="AL90" s="35"/>
      <c r="AM90" s="35">
        <v>97687.45</v>
      </c>
      <c r="AN90" s="35"/>
      <c r="AO90" s="35">
        <v>11768.63</v>
      </c>
      <c r="AP90" s="35"/>
      <c r="AQ90" s="35">
        <v>109456.08</v>
      </c>
      <c r="AS90" s="39">
        <f t="shared" si="21"/>
        <v>0</v>
      </c>
      <c r="AT90" s="39"/>
      <c r="AU90" s="39">
        <f t="shared" si="22"/>
        <v>0</v>
      </c>
      <c r="AV90" s="39"/>
      <c r="AW90" s="39">
        <f t="shared" si="23"/>
        <v>0</v>
      </c>
      <c r="AX90" s="39"/>
      <c r="AY90" s="39">
        <f t="shared" si="24"/>
        <v>0</v>
      </c>
    </row>
    <row r="91" spans="1:51" s="7" customFormat="1" ht="12" x14ac:dyDescent="0.2">
      <c r="A91" s="7" t="s">
        <v>517</v>
      </c>
      <c r="C91" s="7" t="s">
        <v>797</v>
      </c>
      <c r="E91" s="35">
        <v>640853</v>
      </c>
      <c r="F91" s="35"/>
      <c r="G91" s="35">
        <v>72805</v>
      </c>
      <c r="H91" s="35"/>
      <c r="I91" s="35">
        <v>0</v>
      </c>
      <c r="J91" s="35"/>
      <c r="K91" s="35">
        <v>8395</v>
      </c>
      <c r="L91" s="35"/>
      <c r="M91" s="35">
        <f t="shared" si="18"/>
        <v>-559653</v>
      </c>
      <c r="N91" s="35"/>
      <c r="O91" s="35">
        <f t="shared" si="19"/>
        <v>-559653</v>
      </c>
      <c r="P91" s="35"/>
      <c r="Q91" s="35">
        <v>36446</v>
      </c>
      <c r="R91" s="35"/>
      <c r="S91" s="35">
        <v>351973</v>
      </c>
      <c r="T91" s="35"/>
      <c r="U91" s="35">
        <f>41111+10696</f>
        <v>51807</v>
      </c>
      <c r="V91" s="35"/>
      <c r="W91" s="35">
        <v>1934</v>
      </c>
      <c r="X91" s="35"/>
      <c r="Y91" s="35">
        <v>5411</v>
      </c>
      <c r="Z91" s="35"/>
      <c r="AA91" s="35">
        <f>9195+5197</f>
        <v>14392</v>
      </c>
      <c r="AB91" s="35"/>
      <c r="AC91" s="35">
        <v>100000</v>
      </c>
      <c r="AD91" s="35"/>
      <c r="AE91" s="35">
        <v>0</v>
      </c>
      <c r="AF91" s="35"/>
      <c r="AG91" s="35">
        <v>0</v>
      </c>
      <c r="AH91" s="35"/>
      <c r="AI91" s="35">
        <v>0</v>
      </c>
      <c r="AJ91" s="35"/>
      <c r="AK91" s="35">
        <f t="shared" si="20"/>
        <v>561963</v>
      </c>
      <c r="AL91" s="35"/>
      <c r="AM91" s="35">
        <v>2310</v>
      </c>
      <c r="AN91" s="35"/>
      <c r="AO91" s="35">
        <v>112284</v>
      </c>
      <c r="AP91" s="35"/>
      <c r="AQ91" s="35">
        <v>114594</v>
      </c>
      <c r="AS91" s="39">
        <f t="shared" si="21"/>
        <v>0</v>
      </c>
      <c r="AT91" s="39"/>
      <c r="AU91" s="39">
        <f t="shared" si="22"/>
        <v>0</v>
      </c>
      <c r="AV91" s="39"/>
      <c r="AW91" s="39">
        <f t="shared" si="23"/>
        <v>0</v>
      </c>
      <c r="AX91" s="39"/>
      <c r="AY91" s="39">
        <f t="shared" si="24"/>
        <v>0</v>
      </c>
    </row>
    <row r="92" spans="1:51" s="7" customFormat="1" ht="12" x14ac:dyDescent="0.2">
      <c r="A92" s="7" t="s">
        <v>676</v>
      </c>
      <c r="C92" s="7" t="s">
        <v>659</v>
      </c>
      <c r="E92" s="35">
        <v>515210.3</v>
      </c>
      <c r="F92" s="35"/>
      <c r="G92" s="35">
        <v>104491.07</v>
      </c>
      <c r="H92" s="35"/>
      <c r="I92" s="35">
        <v>94394.66</v>
      </c>
      <c r="J92" s="35"/>
      <c r="K92" s="35">
        <v>0</v>
      </c>
      <c r="L92" s="35"/>
      <c r="M92" s="35">
        <f t="shared" si="18"/>
        <v>-316324.56999999995</v>
      </c>
      <c r="N92" s="35"/>
      <c r="O92" s="35">
        <f t="shared" si="19"/>
        <v>-316324.56999999995</v>
      </c>
      <c r="P92" s="35"/>
      <c r="Q92" s="35">
        <v>224232.57</v>
      </c>
      <c r="R92" s="35"/>
      <c r="S92" s="35">
        <v>0</v>
      </c>
      <c r="T92" s="35"/>
      <c r="U92" s="35">
        <v>30857.88</v>
      </c>
      <c r="V92" s="35"/>
      <c r="W92" s="35">
        <v>630.97</v>
      </c>
      <c r="X92" s="35"/>
      <c r="Y92" s="35">
        <v>15325.84</v>
      </c>
      <c r="Z92" s="35"/>
      <c r="AA92" s="35">
        <v>95705.08</v>
      </c>
      <c r="AB92" s="35"/>
      <c r="AC92" s="35">
        <v>0</v>
      </c>
      <c r="AD92" s="35"/>
      <c r="AE92" s="35">
        <v>0</v>
      </c>
      <c r="AF92" s="35"/>
      <c r="AG92" s="35">
        <v>0</v>
      </c>
      <c r="AH92" s="35"/>
      <c r="AI92" s="35">
        <v>0</v>
      </c>
      <c r="AJ92" s="35"/>
      <c r="AK92" s="35">
        <f t="shared" si="20"/>
        <v>366752.34</v>
      </c>
      <c r="AL92" s="35"/>
      <c r="AM92" s="35">
        <v>50427.77</v>
      </c>
      <c r="AN92" s="35"/>
      <c r="AO92" s="35">
        <v>237962.55</v>
      </c>
      <c r="AP92" s="35"/>
      <c r="AQ92" s="35">
        <v>288390.32</v>
      </c>
      <c r="AS92" s="39">
        <f t="shared" si="21"/>
        <v>0</v>
      </c>
      <c r="AT92" s="39"/>
      <c r="AU92" s="39">
        <f t="shared" si="22"/>
        <v>0</v>
      </c>
      <c r="AV92" s="39"/>
      <c r="AW92" s="39">
        <f t="shared" si="23"/>
        <v>8.0035533756017685E-11</v>
      </c>
      <c r="AX92" s="39"/>
      <c r="AY92" s="39">
        <f t="shared" si="24"/>
        <v>0</v>
      </c>
    </row>
    <row r="93" spans="1:51" s="7" customFormat="1" ht="12" x14ac:dyDescent="0.2">
      <c r="A93" s="7" t="s">
        <v>376</v>
      </c>
      <c r="C93" s="7" t="s">
        <v>762</v>
      </c>
      <c r="E93" s="35">
        <v>102455.74</v>
      </c>
      <c r="F93" s="35"/>
      <c r="G93" s="35">
        <v>39643</v>
      </c>
      <c r="H93" s="35"/>
      <c r="I93" s="35">
        <v>16387.89</v>
      </c>
      <c r="J93" s="35"/>
      <c r="K93" s="35">
        <v>336.44</v>
      </c>
      <c r="L93" s="35"/>
      <c r="M93" s="35">
        <f t="shared" si="18"/>
        <v>-46088.41</v>
      </c>
      <c r="N93" s="35"/>
      <c r="O93" s="35">
        <f t="shared" si="19"/>
        <v>-46088.41</v>
      </c>
      <c r="P93" s="35"/>
      <c r="Q93" s="35">
        <v>33117</v>
      </c>
      <c r="R93" s="35"/>
      <c r="S93" s="35">
        <v>0</v>
      </c>
      <c r="T93" s="35"/>
      <c r="U93" s="35">
        <v>12128.66</v>
      </c>
      <c r="V93" s="35"/>
      <c r="W93" s="35">
        <v>4368.62</v>
      </c>
      <c r="X93" s="35"/>
      <c r="Y93" s="35">
        <v>7099.95</v>
      </c>
      <c r="Z93" s="35"/>
      <c r="AA93" s="35">
        <v>10000</v>
      </c>
      <c r="AB93" s="35"/>
      <c r="AC93" s="35">
        <v>0</v>
      </c>
      <c r="AD93" s="35"/>
      <c r="AE93" s="35">
        <v>0</v>
      </c>
      <c r="AF93" s="35"/>
      <c r="AG93" s="35">
        <v>0</v>
      </c>
      <c r="AH93" s="35"/>
      <c r="AI93" s="35">
        <v>0</v>
      </c>
      <c r="AJ93" s="35"/>
      <c r="AK93" s="35">
        <f t="shared" si="20"/>
        <v>66714.23000000001</v>
      </c>
      <c r="AL93" s="35"/>
      <c r="AM93" s="35">
        <v>20625.82</v>
      </c>
      <c r="AN93" s="35"/>
      <c r="AO93" s="35">
        <v>112035.44</v>
      </c>
      <c r="AP93" s="35"/>
      <c r="AQ93" s="35">
        <v>132661.26</v>
      </c>
      <c r="AS93" s="39">
        <f t="shared" si="21"/>
        <v>0</v>
      </c>
      <c r="AT93" s="39"/>
      <c r="AU93" s="39">
        <f t="shared" si="22"/>
        <v>0</v>
      </c>
      <c r="AV93" s="39"/>
      <c r="AW93" s="39">
        <f t="shared" si="23"/>
        <v>0</v>
      </c>
      <c r="AX93" s="39"/>
      <c r="AY93" s="39">
        <f t="shared" si="24"/>
        <v>0</v>
      </c>
    </row>
    <row r="94" spans="1:51" s="7" customFormat="1" ht="12" x14ac:dyDescent="0.2">
      <c r="A94" s="41" t="s">
        <v>228</v>
      </c>
      <c r="B94" s="41"/>
      <c r="C94" s="41" t="s">
        <v>549</v>
      </c>
      <c r="D94" s="41"/>
      <c r="E94" s="35">
        <v>3734914.09</v>
      </c>
      <c r="F94" s="35"/>
      <c r="G94" s="35">
        <v>811717.8</v>
      </c>
      <c r="H94" s="35"/>
      <c r="I94" s="35">
        <v>144024.76999999999</v>
      </c>
      <c r="J94" s="35"/>
      <c r="K94" s="35">
        <v>11134.54</v>
      </c>
      <c r="L94" s="35"/>
      <c r="M94" s="35">
        <f t="shared" si="18"/>
        <v>-2768036.9799999995</v>
      </c>
      <c r="N94" s="35"/>
      <c r="O94" s="35">
        <f t="shared" si="19"/>
        <v>-2768036.98</v>
      </c>
      <c r="P94" s="35"/>
      <c r="Q94" s="35">
        <v>440956.57</v>
      </c>
      <c r="R94" s="35"/>
      <c r="S94" s="35">
        <v>1700400.46</v>
      </c>
      <c r="T94" s="35"/>
      <c r="U94" s="35">
        <v>190019.79</v>
      </c>
      <c r="V94" s="35"/>
      <c r="W94" s="35">
        <v>564.87</v>
      </c>
      <c r="X94" s="35"/>
      <c r="Y94" s="35">
        <v>0</v>
      </c>
      <c r="Z94" s="35"/>
      <c r="AA94" s="35">
        <v>13195.95</v>
      </c>
      <c r="AB94" s="35"/>
      <c r="AC94" s="35">
        <v>55065.11</v>
      </c>
      <c r="AD94" s="35"/>
      <c r="AE94" s="35">
        <v>169060.37</v>
      </c>
      <c r="AF94" s="35"/>
      <c r="AG94" s="35">
        <v>0</v>
      </c>
      <c r="AH94" s="35"/>
      <c r="AI94" s="35">
        <v>53796.21</v>
      </c>
      <c r="AJ94" s="35"/>
      <c r="AK94" s="35">
        <f t="shared" si="20"/>
        <v>2623059.33</v>
      </c>
      <c r="AL94" s="35"/>
      <c r="AM94" s="35">
        <v>-144977.65</v>
      </c>
      <c r="AN94" s="35"/>
      <c r="AO94" s="35">
        <v>1366492.92</v>
      </c>
      <c r="AP94" s="35"/>
      <c r="AQ94" s="35">
        <v>1221515.27</v>
      </c>
      <c r="AR94" s="41"/>
      <c r="AS94" s="39">
        <f t="shared" si="21"/>
        <v>0</v>
      </c>
      <c r="AT94" s="39"/>
      <c r="AU94" s="39">
        <f t="shared" si="22"/>
        <v>0</v>
      </c>
      <c r="AV94" s="39"/>
      <c r="AW94" s="39">
        <f t="shared" si="23"/>
        <v>0</v>
      </c>
      <c r="AX94" s="39"/>
      <c r="AY94" s="39">
        <f t="shared" si="24"/>
        <v>0</v>
      </c>
    </row>
    <row r="95" spans="1:51" s="7" customFormat="1" ht="12" x14ac:dyDescent="0.2">
      <c r="A95" s="7" t="s">
        <v>284</v>
      </c>
      <c r="C95" s="7" t="s">
        <v>742</v>
      </c>
      <c r="E95" s="35">
        <v>823170.59</v>
      </c>
      <c r="F95" s="35"/>
      <c r="G95" s="35">
        <v>130485.28</v>
      </c>
      <c r="H95" s="35"/>
      <c r="I95" s="35">
        <v>87235.26</v>
      </c>
      <c r="J95" s="35"/>
      <c r="K95" s="35">
        <v>0</v>
      </c>
      <c r="L95" s="35"/>
      <c r="M95" s="35">
        <f t="shared" si="18"/>
        <v>-605450.05000000005</v>
      </c>
      <c r="N95" s="35"/>
      <c r="O95" s="35">
        <f t="shared" si="19"/>
        <v>-605450.04999999993</v>
      </c>
      <c r="P95" s="35"/>
      <c r="Q95" s="35">
        <v>159389.74</v>
      </c>
      <c r="R95" s="35"/>
      <c r="S95" s="35">
        <v>220530.45</v>
      </c>
      <c r="T95" s="35"/>
      <c r="U95" s="35">
        <v>29653.46</v>
      </c>
      <c r="V95" s="35"/>
      <c r="W95" s="35">
        <v>18137.650000000001</v>
      </c>
      <c r="X95" s="35"/>
      <c r="Y95" s="35">
        <v>12094.21</v>
      </c>
      <c r="Z95" s="35"/>
      <c r="AA95" s="35">
        <v>87065.91</v>
      </c>
      <c r="AB95" s="35"/>
      <c r="AC95" s="35">
        <v>0</v>
      </c>
      <c r="AD95" s="35"/>
      <c r="AE95" s="35">
        <v>-57.49</v>
      </c>
      <c r="AF95" s="35"/>
      <c r="AG95" s="35">
        <v>0</v>
      </c>
      <c r="AH95" s="35"/>
      <c r="AI95" s="35">
        <v>0</v>
      </c>
      <c r="AJ95" s="35"/>
      <c r="AK95" s="35">
        <f t="shared" si="20"/>
        <v>526813.93000000005</v>
      </c>
      <c r="AL95" s="35"/>
      <c r="AM95" s="35">
        <v>-78636.12</v>
      </c>
      <c r="AN95" s="35"/>
      <c r="AO95" s="35">
        <v>616202.44999999995</v>
      </c>
      <c r="AP95" s="35"/>
      <c r="AQ95" s="35">
        <v>537566.32999999996</v>
      </c>
      <c r="AS95" s="39">
        <f t="shared" si="21"/>
        <v>0</v>
      </c>
      <c r="AT95" s="39"/>
      <c r="AU95" s="39">
        <f t="shared" si="22"/>
        <v>0</v>
      </c>
      <c r="AV95" s="39"/>
      <c r="AW95" s="39">
        <f t="shared" si="23"/>
        <v>1.1641532182693481E-10</v>
      </c>
      <c r="AX95" s="39"/>
      <c r="AY95" s="39">
        <f t="shared" si="24"/>
        <v>0</v>
      </c>
    </row>
    <row r="96" spans="1:51" s="7" customFormat="1" ht="12" x14ac:dyDescent="0.2">
      <c r="A96" s="7" t="s">
        <v>138</v>
      </c>
      <c r="C96" s="7" t="s">
        <v>776</v>
      </c>
      <c r="E96" s="35">
        <v>58631.6</v>
      </c>
      <c r="F96" s="35"/>
      <c r="G96" s="35">
        <v>0</v>
      </c>
      <c r="H96" s="35"/>
      <c r="I96" s="35">
        <v>11364.1</v>
      </c>
      <c r="J96" s="35"/>
      <c r="K96" s="35">
        <v>0</v>
      </c>
      <c r="L96" s="35"/>
      <c r="M96" s="35">
        <f t="shared" si="18"/>
        <v>-47267.5</v>
      </c>
      <c r="N96" s="35"/>
      <c r="O96" s="35">
        <f t="shared" si="19"/>
        <v>-47267.5</v>
      </c>
      <c r="P96" s="35"/>
      <c r="Q96" s="35">
        <v>0</v>
      </c>
      <c r="R96" s="35"/>
      <c r="S96" s="35">
        <v>0</v>
      </c>
      <c r="T96" s="35"/>
      <c r="U96" s="35">
        <v>10000</v>
      </c>
      <c r="V96" s="35"/>
      <c r="W96" s="35">
        <v>1572.52</v>
      </c>
      <c r="X96" s="35"/>
      <c r="Y96" s="35">
        <v>0</v>
      </c>
      <c r="Z96" s="35"/>
      <c r="AA96" s="35">
        <v>0</v>
      </c>
      <c r="AB96" s="35"/>
      <c r="AC96" s="35">
        <v>0</v>
      </c>
      <c r="AD96" s="35"/>
      <c r="AE96" s="35">
        <v>0</v>
      </c>
      <c r="AF96" s="35"/>
      <c r="AG96" s="35">
        <v>0</v>
      </c>
      <c r="AH96" s="35"/>
      <c r="AI96" s="35">
        <v>0</v>
      </c>
      <c r="AJ96" s="35"/>
      <c r="AK96" s="35">
        <f t="shared" si="20"/>
        <v>11572.52</v>
      </c>
      <c r="AL96" s="35"/>
      <c r="AM96" s="35">
        <v>-35694.980000000003</v>
      </c>
      <c r="AN96" s="35"/>
      <c r="AO96" s="35">
        <v>315537.03000000003</v>
      </c>
      <c r="AP96" s="35"/>
      <c r="AQ96" s="35">
        <v>279842.05</v>
      </c>
      <c r="AS96" s="39">
        <f t="shared" si="21"/>
        <v>0</v>
      </c>
      <c r="AT96" s="39"/>
      <c r="AU96" s="39">
        <f t="shared" si="22"/>
        <v>0</v>
      </c>
      <c r="AV96" s="39"/>
      <c r="AW96" s="39">
        <f t="shared" si="23"/>
        <v>0</v>
      </c>
      <c r="AX96" s="39"/>
      <c r="AY96" s="39">
        <f t="shared" si="24"/>
        <v>0</v>
      </c>
    </row>
    <row r="97" spans="1:51" s="7" customFormat="1" ht="12" x14ac:dyDescent="0.2">
      <c r="A97" s="7" t="s">
        <v>488</v>
      </c>
      <c r="C97" s="7" t="s">
        <v>484</v>
      </c>
      <c r="E97" s="35">
        <v>615955.16</v>
      </c>
      <c r="F97" s="35"/>
      <c r="G97" s="35">
        <v>151898.45000000001</v>
      </c>
      <c r="H97" s="35"/>
      <c r="I97" s="35">
        <v>81200.86</v>
      </c>
      <c r="J97" s="35"/>
      <c r="K97" s="35">
        <v>0</v>
      </c>
      <c r="L97" s="35"/>
      <c r="M97" s="35">
        <f t="shared" si="18"/>
        <v>-382855.85000000003</v>
      </c>
      <c r="N97" s="35"/>
      <c r="O97" s="35">
        <f t="shared" si="19"/>
        <v>-382855.85000000003</v>
      </c>
      <c r="P97" s="35"/>
      <c r="Q97" s="35">
        <v>88822.94</v>
      </c>
      <c r="R97" s="35"/>
      <c r="S97" s="35">
        <v>126663.52</v>
      </c>
      <c r="T97" s="35"/>
      <c r="U97" s="35">
        <v>200880.39</v>
      </c>
      <c r="V97" s="35"/>
      <c r="W97" s="35">
        <v>1267.3</v>
      </c>
      <c r="X97" s="35"/>
      <c r="Y97" s="35">
        <v>11793.17</v>
      </c>
      <c r="Z97" s="35"/>
      <c r="AA97" s="35">
        <v>32055.119999999999</v>
      </c>
      <c r="AB97" s="35"/>
      <c r="AC97" s="35">
        <v>0</v>
      </c>
      <c r="AD97" s="35"/>
      <c r="AE97" s="35">
        <v>-1097.96</v>
      </c>
      <c r="AF97" s="35"/>
      <c r="AG97" s="35">
        <v>0</v>
      </c>
      <c r="AH97" s="35"/>
      <c r="AI97" s="35">
        <v>0</v>
      </c>
      <c r="AJ97" s="35"/>
      <c r="AK97" s="35">
        <f t="shared" si="20"/>
        <v>460384.48</v>
      </c>
      <c r="AL97" s="35"/>
      <c r="AM97" s="35">
        <v>77528.63</v>
      </c>
      <c r="AN97" s="35"/>
      <c r="AO97" s="35">
        <v>583310.17000000004</v>
      </c>
      <c r="AP97" s="35"/>
      <c r="AQ97" s="35">
        <v>660838.80000000005</v>
      </c>
      <c r="AS97" s="39">
        <f t="shared" si="21"/>
        <v>0</v>
      </c>
      <c r="AT97" s="39"/>
      <c r="AU97" s="39">
        <f t="shared" si="22"/>
        <v>0</v>
      </c>
      <c r="AV97" s="39"/>
      <c r="AW97" s="39">
        <f t="shared" si="23"/>
        <v>0</v>
      </c>
      <c r="AX97" s="39"/>
      <c r="AY97" s="39">
        <f t="shared" si="24"/>
        <v>0</v>
      </c>
    </row>
    <row r="98" spans="1:51" s="7" customFormat="1" ht="12" x14ac:dyDescent="0.2"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S98" s="39"/>
      <c r="AT98" s="39"/>
      <c r="AU98" s="39"/>
      <c r="AV98" s="39"/>
      <c r="AW98" s="39"/>
      <c r="AX98" s="39"/>
      <c r="AY98" s="39"/>
    </row>
    <row r="99" spans="1:51" s="7" customFormat="1" ht="12" x14ac:dyDescent="0.2"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 t="s">
        <v>850</v>
      </c>
      <c r="AS99" s="39"/>
      <c r="AT99" s="39"/>
      <c r="AU99" s="39"/>
      <c r="AV99" s="39"/>
      <c r="AW99" s="39"/>
      <c r="AX99" s="39"/>
      <c r="AY99" s="39"/>
    </row>
    <row r="100" spans="1:51" s="7" customFormat="1" ht="12" x14ac:dyDescent="0.2"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S100" s="39"/>
      <c r="AT100" s="39"/>
      <c r="AU100" s="39"/>
      <c r="AV100" s="39"/>
      <c r="AW100" s="39"/>
      <c r="AX100" s="39"/>
      <c r="AY100" s="39"/>
    </row>
    <row r="101" spans="1:51" s="7" customFormat="1" ht="12" x14ac:dyDescent="0.2">
      <c r="A101" s="7" t="s">
        <v>161</v>
      </c>
      <c r="C101" s="7" t="s">
        <v>783</v>
      </c>
      <c r="E101" s="85">
        <v>1075365.71</v>
      </c>
      <c r="F101" s="85"/>
      <c r="G101" s="85">
        <v>42149.49</v>
      </c>
      <c r="H101" s="85"/>
      <c r="I101" s="85">
        <v>127898.46</v>
      </c>
      <c r="J101" s="85"/>
      <c r="K101" s="85">
        <v>0</v>
      </c>
      <c r="L101" s="85"/>
      <c r="M101" s="85">
        <f t="shared" si="18"/>
        <v>-905317.76</v>
      </c>
      <c r="N101" s="85"/>
      <c r="O101" s="85">
        <f t="shared" si="19"/>
        <v>-905317.76</v>
      </c>
      <c r="P101" s="85"/>
      <c r="Q101" s="85">
        <v>102985.39</v>
      </c>
      <c r="R101" s="85"/>
      <c r="S101" s="85">
        <v>859112.6</v>
      </c>
      <c r="T101" s="85"/>
      <c r="U101" s="85">
        <v>225367.85</v>
      </c>
      <c r="V101" s="85"/>
      <c r="W101" s="85">
        <v>13026.12</v>
      </c>
      <c r="X101" s="85"/>
      <c r="Y101" s="85">
        <v>27979.05</v>
      </c>
      <c r="Z101" s="85"/>
      <c r="AA101" s="85">
        <v>0</v>
      </c>
      <c r="AB101" s="85"/>
      <c r="AC101" s="85">
        <v>0</v>
      </c>
      <c r="AD101" s="85"/>
      <c r="AE101" s="85">
        <v>0</v>
      </c>
      <c r="AF101" s="85"/>
      <c r="AG101" s="85">
        <v>0</v>
      </c>
      <c r="AH101" s="85"/>
      <c r="AI101" s="85">
        <v>0</v>
      </c>
      <c r="AJ101" s="85"/>
      <c r="AK101" s="85">
        <f t="shared" si="20"/>
        <v>1228471.0100000002</v>
      </c>
      <c r="AL101" s="85"/>
      <c r="AM101" s="85">
        <v>323153.25</v>
      </c>
      <c r="AN101" s="85"/>
      <c r="AO101" s="85">
        <v>740921.3</v>
      </c>
      <c r="AP101" s="85"/>
      <c r="AQ101" s="85">
        <v>1064074.55</v>
      </c>
      <c r="AS101" s="39">
        <f t="shared" si="21"/>
        <v>0</v>
      </c>
      <c r="AT101" s="39"/>
      <c r="AU101" s="39">
        <f t="shared" si="22"/>
        <v>0</v>
      </c>
      <c r="AV101" s="39"/>
      <c r="AW101" s="39">
        <f t="shared" si="23"/>
        <v>0</v>
      </c>
      <c r="AX101" s="39"/>
      <c r="AY101" s="39">
        <f t="shared" si="24"/>
        <v>0</v>
      </c>
    </row>
    <row r="102" spans="1:51" s="7" customFormat="1" ht="12" x14ac:dyDescent="0.2">
      <c r="A102" s="7" t="s">
        <v>934</v>
      </c>
      <c r="C102" s="7" t="s">
        <v>762</v>
      </c>
      <c r="E102" s="35">
        <v>21352.52</v>
      </c>
      <c r="F102" s="35"/>
      <c r="G102" s="35">
        <v>125</v>
      </c>
      <c r="H102" s="35"/>
      <c r="I102" s="35">
        <v>8517.3700000000008</v>
      </c>
      <c r="J102" s="35"/>
      <c r="K102" s="35">
        <v>0</v>
      </c>
      <c r="L102" s="35"/>
      <c r="M102" s="35">
        <f t="shared" si="18"/>
        <v>-12710.15</v>
      </c>
      <c r="N102" s="35"/>
      <c r="O102" s="35">
        <f t="shared" si="19"/>
        <v>-12710.15</v>
      </c>
      <c r="P102" s="35"/>
      <c r="Q102" s="35">
        <v>8162.29</v>
      </c>
      <c r="R102" s="35"/>
      <c r="S102" s="35">
        <v>0</v>
      </c>
      <c r="T102" s="35"/>
      <c r="U102" s="35">
        <v>3537.73</v>
      </c>
      <c r="V102" s="35"/>
      <c r="W102" s="35">
        <v>24.98</v>
      </c>
      <c r="X102" s="35"/>
      <c r="Y102" s="35">
        <v>0</v>
      </c>
      <c r="Z102" s="35"/>
      <c r="AA102" s="35">
        <v>2843</v>
      </c>
      <c r="AB102" s="35"/>
      <c r="AC102" s="35">
        <v>0</v>
      </c>
      <c r="AD102" s="35"/>
      <c r="AE102" s="35">
        <v>0</v>
      </c>
      <c r="AF102" s="35"/>
      <c r="AG102" s="35">
        <v>0</v>
      </c>
      <c r="AH102" s="35"/>
      <c r="AI102" s="35">
        <v>0</v>
      </c>
      <c r="AJ102" s="35"/>
      <c r="AK102" s="35">
        <f t="shared" si="20"/>
        <v>14568</v>
      </c>
      <c r="AL102" s="35"/>
      <c r="AM102" s="35">
        <v>1857.85</v>
      </c>
      <c r="AN102" s="35"/>
      <c r="AO102" s="35">
        <v>36769.5</v>
      </c>
      <c r="AP102" s="35"/>
      <c r="AQ102" s="35">
        <v>38627.35</v>
      </c>
      <c r="AS102" s="39">
        <f t="shared" si="21"/>
        <v>0</v>
      </c>
      <c r="AT102" s="39"/>
      <c r="AU102" s="39">
        <f t="shared" si="22"/>
        <v>0</v>
      </c>
      <c r="AV102" s="39"/>
      <c r="AW102" s="39">
        <f t="shared" si="23"/>
        <v>0</v>
      </c>
      <c r="AX102" s="39"/>
      <c r="AY102" s="39">
        <f t="shared" si="24"/>
        <v>0</v>
      </c>
    </row>
    <row r="103" spans="1:51" s="7" customFormat="1" ht="12" x14ac:dyDescent="0.2">
      <c r="A103" s="7" t="s">
        <v>461</v>
      </c>
      <c r="C103" s="7" t="s">
        <v>462</v>
      </c>
      <c r="E103" s="35">
        <v>3287871</v>
      </c>
      <c r="F103" s="35"/>
      <c r="G103" s="35">
        <v>275871</v>
      </c>
      <c r="H103" s="35"/>
      <c r="I103" s="35">
        <v>0</v>
      </c>
      <c r="J103" s="35"/>
      <c r="K103" s="35">
        <v>0</v>
      </c>
      <c r="L103" s="35"/>
      <c r="M103" s="35">
        <f t="shared" si="18"/>
        <v>-3012000</v>
      </c>
      <c r="N103" s="35"/>
      <c r="O103" s="35">
        <f t="shared" si="19"/>
        <v>-3012000</v>
      </c>
      <c r="P103" s="35"/>
      <c r="Q103" s="35">
        <v>1962403</v>
      </c>
      <c r="R103" s="35"/>
      <c r="S103" s="35">
        <v>0</v>
      </c>
      <c r="T103" s="35"/>
      <c r="U103" s="35">
        <f>315560+49084</f>
        <v>364644</v>
      </c>
      <c r="V103" s="35"/>
      <c r="W103" s="35">
        <v>55</v>
      </c>
      <c r="X103" s="35"/>
      <c r="Y103" s="35">
        <v>0</v>
      </c>
      <c r="Z103" s="35"/>
      <c r="AA103" s="35">
        <f>21577+54038+34103+229000+16735+10</f>
        <v>355463</v>
      </c>
      <c r="AB103" s="35"/>
      <c r="AC103" s="35">
        <v>0</v>
      </c>
      <c r="AD103" s="35"/>
      <c r="AE103" s="35">
        <f>253591+21204-1391-3200-11000-35000-45000-215000</f>
        <v>-35796</v>
      </c>
      <c r="AF103" s="35"/>
      <c r="AG103" s="35">
        <v>0</v>
      </c>
      <c r="AH103" s="35"/>
      <c r="AI103" s="35">
        <v>0</v>
      </c>
      <c r="AJ103" s="35"/>
      <c r="AK103" s="35">
        <f t="shared" si="20"/>
        <v>2646769</v>
      </c>
      <c r="AL103" s="35"/>
      <c r="AM103" s="35">
        <f>M103+AK103</f>
        <v>-365231</v>
      </c>
      <c r="AN103" s="35"/>
      <c r="AO103" s="35">
        <f>AQ103-AM103</f>
        <v>1133313</v>
      </c>
      <c r="AP103" s="35"/>
      <c r="AQ103" s="35">
        <v>768082</v>
      </c>
      <c r="AS103" s="39">
        <f t="shared" si="21"/>
        <v>0</v>
      </c>
      <c r="AT103" s="39"/>
      <c r="AU103" s="39">
        <f t="shared" si="22"/>
        <v>0</v>
      </c>
      <c r="AV103" s="39"/>
      <c r="AW103" s="39">
        <f t="shared" si="23"/>
        <v>0</v>
      </c>
      <c r="AX103" s="39"/>
      <c r="AY103" s="39">
        <f t="shared" si="24"/>
        <v>0</v>
      </c>
    </row>
    <row r="104" spans="1:51" s="7" customFormat="1" ht="12" x14ac:dyDescent="0.2">
      <c r="A104" s="7" t="s">
        <v>154</v>
      </c>
      <c r="C104" s="7" t="s">
        <v>781</v>
      </c>
      <c r="E104" s="35">
        <v>2800068.31</v>
      </c>
      <c r="F104" s="35"/>
      <c r="G104" s="35">
        <v>38741.18</v>
      </c>
      <c r="H104" s="35"/>
      <c r="I104" s="35">
        <v>101953.19</v>
      </c>
      <c r="J104" s="35"/>
      <c r="K104" s="35">
        <v>1110175.8799999999</v>
      </c>
      <c r="L104" s="35"/>
      <c r="M104" s="35">
        <f t="shared" si="18"/>
        <v>-1549198.06</v>
      </c>
      <c r="N104" s="35"/>
      <c r="O104" s="35">
        <f t="shared" si="19"/>
        <v>-1549198.06</v>
      </c>
      <c r="P104" s="35"/>
      <c r="Q104" s="35">
        <v>422946.14</v>
      </c>
      <c r="R104" s="35"/>
      <c r="S104" s="35">
        <v>1035294.44</v>
      </c>
      <c r="T104" s="35"/>
      <c r="U104" s="35">
        <v>68630.880000000005</v>
      </c>
      <c r="V104" s="35"/>
      <c r="W104" s="35">
        <v>9804.18</v>
      </c>
      <c r="X104" s="35"/>
      <c r="Y104" s="35">
        <v>0</v>
      </c>
      <c r="Z104" s="35"/>
      <c r="AA104" s="35">
        <v>311100.96999999997</v>
      </c>
      <c r="AB104" s="35"/>
      <c r="AC104" s="35">
        <v>0</v>
      </c>
      <c r="AD104" s="35"/>
      <c r="AE104" s="35">
        <v>-167741.79999999999</v>
      </c>
      <c r="AF104" s="35"/>
      <c r="AG104" s="35">
        <v>0</v>
      </c>
      <c r="AH104" s="35"/>
      <c r="AI104" s="35">
        <v>0</v>
      </c>
      <c r="AJ104" s="35"/>
      <c r="AK104" s="35">
        <f t="shared" si="20"/>
        <v>1680034.8099999998</v>
      </c>
      <c r="AL104" s="35"/>
      <c r="AM104" s="35">
        <v>130836.75</v>
      </c>
      <c r="AN104" s="35"/>
      <c r="AO104" s="35">
        <v>1552892.95</v>
      </c>
      <c r="AP104" s="35"/>
      <c r="AQ104" s="35">
        <v>1683729.7</v>
      </c>
      <c r="AS104" s="39">
        <f t="shared" si="21"/>
        <v>0</v>
      </c>
      <c r="AT104" s="39"/>
      <c r="AU104" s="39">
        <f t="shared" si="22"/>
        <v>0</v>
      </c>
      <c r="AV104" s="39"/>
      <c r="AW104" s="39">
        <f t="shared" si="23"/>
        <v>-2.3283064365386963E-10</v>
      </c>
      <c r="AX104" s="39"/>
      <c r="AY104" s="39">
        <f t="shared" si="24"/>
        <v>0</v>
      </c>
    </row>
    <row r="105" spans="1:51" s="7" customFormat="1" ht="12" x14ac:dyDescent="0.2">
      <c r="A105" s="7" t="s">
        <v>941</v>
      </c>
      <c r="C105" s="7" t="s">
        <v>378</v>
      </c>
      <c r="E105" s="35">
        <v>3361066</v>
      </c>
      <c r="F105" s="35"/>
      <c r="G105" s="35">
        <v>451497</v>
      </c>
      <c r="H105" s="35"/>
      <c r="I105" s="35">
        <v>231617</v>
      </c>
      <c r="J105" s="35"/>
      <c r="K105" s="35">
        <v>311689</v>
      </c>
      <c r="L105" s="35"/>
      <c r="M105" s="35">
        <f t="shared" si="18"/>
        <v>-2366263</v>
      </c>
      <c r="N105" s="35"/>
      <c r="O105" s="35">
        <f t="shared" si="19"/>
        <v>-2366263</v>
      </c>
      <c r="P105" s="35"/>
      <c r="Q105" s="35">
        <v>631224</v>
      </c>
      <c r="R105" s="35"/>
      <c r="S105" s="35">
        <v>1482662</v>
      </c>
      <c r="T105" s="35"/>
      <c r="U105" s="35">
        <v>100434</v>
      </c>
      <c r="V105" s="35"/>
      <c r="W105" s="35">
        <v>10836</v>
      </c>
      <c r="X105" s="35"/>
      <c r="Y105" s="35">
        <v>0</v>
      </c>
      <c r="Z105" s="35"/>
      <c r="AA105" s="35">
        <v>34098</v>
      </c>
      <c r="AB105" s="35"/>
      <c r="AC105" s="35">
        <v>0</v>
      </c>
      <c r="AD105" s="35"/>
      <c r="AE105" s="35">
        <v>0</v>
      </c>
      <c r="AF105" s="35"/>
      <c r="AG105" s="35">
        <v>0</v>
      </c>
      <c r="AH105" s="35"/>
      <c r="AI105" s="35">
        <v>0</v>
      </c>
      <c r="AJ105" s="35"/>
      <c r="AK105" s="35">
        <f t="shared" si="20"/>
        <v>2259254</v>
      </c>
      <c r="AL105" s="35"/>
      <c r="AM105" s="35">
        <v>-107009</v>
      </c>
      <c r="AN105" s="35"/>
      <c r="AO105" s="35">
        <v>5092326</v>
      </c>
      <c r="AP105" s="35"/>
      <c r="AQ105" s="35">
        <v>4985317</v>
      </c>
      <c r="AS105" s="39">
        <f t="shared" si="21"/>
        <v>0</v>
      </c>
      <c r="AT105" s="39"/>
      <c r="AU105" s="39">
        <f t="shared" si="22"/>
        <v>0</v>
      </c>
      <c r="AV105" s="39"/>
      <c r="AW105" s="39">
        <f t="shared" si="23"/>
        <v>0</v>
      </c>
      <c r="AX105" s="39"/>
      <c r="AY105" s="39">
        <f t="shared" si="24"/>
        <v>0</v>
      </c>
    </row>
    <row r="106" spans="1:51" s="7" customFormat="1" ht="12" x14ac:dyDescent="0.2">
      <c r="A106" s="7" t="s">
        <v>582</v>
      </c>
      <c r="C106" s="7" t="s">
        <v>581</v>
      </c>
      <c r="E106" s="35">
        <v>1546643.93</v>
      </c>
      <c r="F106" s="35"/>
      <c r="G106" s="35">
        <v>186318.73</v>
      </c>
      <c r="H106" s="35"/>
      <c r="I106" s="35">
        <v>127793.84</v>
      </c>
      <c r="J106" s="35"/>
      <c r="K106" s="35">
        <v>0</v>
      </c>
      <c r="L106" s="35"/>
      <c r="M106" s="35">
        <f t="shared" si="18"/>
        <v>-1232531.3599999999</v>
      </c>
      <c r="N106" s="35"/>
      <c r="O106" s="35">
        <f t="shared" si="19"/>
        <v>-1232531.3599999999</v>
      </c>
      <c r="P106" s="35"/>
      <c r="Q106" s="35">
        <v>170566.1</v>
      </c>
      <c r="R106" s="35"/>
      <c r="S106" s="35">
        <v>1029410.79</v>
      </c>
      <c r="T106" s="35"/>
      <c r="U106" s="35">
        <v>32538.77</v>
      </c>
      <c r="V106" s="35"/>
      <c r="W106" s="35">
        <v>0</v>
      </c>
      <c r="X106" s="35"/>
      <c r="Y106" s="35">
        <v>0</v>
      </c>
      <c r="Z106" s="35"/>
      <c r="AA106" s="35">
        <v>143978.07</v>
      </c>
      <c r="AB106" s="35"/>
      <c r="AC106" s="35">
        <v>0</v>
      </c>
      <c r="AD106" s="35"/>
      <c r="AE106" s="35">
        <v>0</v>
      </c>
      <c r="AF106" s="35"/>
      <c r="AG106" s="35">
        <v>0</v>
      </c>
      <c r="AH106" s="35"/>
      <c r="AI106" s="35">
        <v>259.14999999999998</v>
      </c>
      <c r="AJ106" s="35"/>
      <c r="AK106" s="35">
        <f t="shared" si="20"/>
        <v>1376752.8800000001</v>
      </c>
      <c r="AL106" s="35"/>
      <c r="AM106" s="35">
        <v>144221.51999999999</v>
      </c>
      <c r="AN106" s="35"/>
      <c r="AO106" s="35">
        <v>2120701.4</v>
      </c>
      <c r="AP106" s="35"/>
      <c r="AQ106" s="35">
        <v>2264922.92</v>
      </c>
      <c r="AS106" s="39">
        <f t="shared" si="21"/>
        <v>0</v>
      </c>
      <c r="AT106" s="39"/>
      <c r="AU106" s="39">
        <f t="shared" si="22"/>
        <v>0</v>
      </c>
      <c r="AV106" s="39"/>
      <c r="AW106" s="39">
        <f t="shared" si="23"/>
        <v>2.6193447411060333E-10</v>
      </c>
      <c r="AX106" s="39"/>
      <c r="AY106" s="39">
        <f t="shared" si="24"/>
        <v>0</v>
      </c>
    </row>
    <row r="107" spans="1:51" s="7" customFormat="1" ht="12" customHeight="1" x14ac:dyDescent="0.2">
      <c r="A107" s="7" t="s">
        <v>85</v>
      </c>
      <c r="C107" s="7" t="s">
        <v>371</v>
      </c>
      <c r="E107" s="35">
        <v>178662.32</v>
      </c>
      <c r="F107" s="35"/>
      <c r="G107" s="35">
        <v>6835</v>
      </c>
      <c r="H107" s="35"/>
      <c r="I107" s="35">
        <v>23891.43</v>
      </c>
      <c r="J107" s="35"/>
      <c r="K107" s="35">
        <v>70518.5</v>
      </c>
      <c r="L107" s="35"/>
      <c r="M107" s="35">
        <f t="shared" ref="M107:M124" si="25">SUM(G107:K107)-E107</f>
        <v>-77417.390000000014</v>
      </c>
      <c r="N107" s="35"/>
      <c r="O107" s="35">
        <f t="shared" ref="O107:O124" si="26">-E107+G107+I107+K107</f>
        <v>-77417.390000000014</v>
      </c>
      <c r="P107" s="35"/>
      <c r="Q107" s="35">
        <v>67843.59</v>
      </c>
      <c r="R107" s="35"/>
      <c r="S107" s="35">
        <v>0</v>
      </c>
      <c r="T107" s="35"/>
      <c r="U107" s="35">
        <v>15294.53</v>
      </c>
      <c r="V107" s="35"/>
      <c r="W107" s="35">
        <v>0</v>
      </c>
      <c r="X107" s="35"/>
      <c r="Y107" s="35">
        <v>16634.77</v>
      </c>
      <c r="Z107" s="35"/>
      <c r="AA107" s="35">
        <v>54</v>
      </c>
      <c r="AB107" s="35"/>
      <c r="AC107" s="35">
        <v>0</v>
      </c>
      <c r="AD107" s="35"/>
      <c r="AE107" s="35">
        <v>0</v>
      </c>
      <c r="AF107" s="35"/>
      <c r="AG107" s="35">
        <v>0</v>
      </c>
      <c r="AH107" s="35"/>
      <c r="AI107" s="35">
        <v>0</v>
      </c>
      <c r="AJ107" s="35"/>
      <c r="AK107" s="35">
        <f t="shared" ref="AK107:AK124" si="27">Q107+S107+U107+W107+Y107+AA107+AC107+AE107+AI107+AG107</f>
        <v>99826.89</v>
      </c>
      <c r="AL107" s="35"/>
      <c r="AM107" s="35">
        <v>22409.5</v>
      </c>
      <c r="AN107" s="35"/>
      <c r="AO107" s="35">
        <v>168748.25</v>
      </c>
      <c r="AP107" s="35"/>
      <c r="AQ107" s="35">
        <v>191157.75</v>
      </c>
      <c r="AS107" s="39">
        <f t="shared" ref="AS107:AS124" si="28">+M107-O107</f>
        <v>0</v>
      </c>
      <c r="AT107" s="39"/>
      <c r="AU107" s="39">
        <f t="shared" ref="AU107:AU124" si="29">+Q107+S107+U107+W107+Y107+AA107+AC107+AE107+AI107-AK107+AG107</f>
        <v>0</v>
      </c>
      <c r="AV107" s="39"/>
      <c r="AW107" s="39">
        <f t="shared" ref="AW107:AW124" si="30">+O107+AK107-AM107</f>
        <v>0</v>
      </c>
      <c r="AX107" s="39"/>
      <c r="AY107" s="39">
        <f t="shared" ref="AY107:AY124" si="31">+O107+AK107+AO107-AQ107</f>
        <v>0</v>
      </c>
    </row>
    <row r="108" spans="1:51" s="7" customFormat="1" ht="12" x14ac:dyDescent="0.2">
      <c r="A108" s="7" t="s">
        <v>966</v>
      </c>
      <c r="C108" s="7" t="s">
        <v>378</v>
      </c>
      <c r="E108" s="35">
        <v>17183416</v>
      </c>
      <c r="F108" s="35"/>
      <c r="G108" s="35">
        <v>618698</v>
      </c>
      <c r="H108" s="35"/>
      <c r="I108" s="35">
        <v>578566</v>
      </c>
      <c r="J108" s="35"/>
      <c r="K108" s="35">
        <v>0</v>
      </c>
      <c r="L108" s="35"/>
      <c r="M108" s="35">
        <f t="shared" si="25"/>
        <v>-15986152</v>
      </c>
      <c r="N108" s="35"/>
      <c r="O108" s="35">
        <f t="shared" si="26"/>
        <v>-15986152</v>
      </c>
      <c r="P108" s="35"/>
      <c r="Q108" s="35">
        <v>1274663</v>
      </c>
      <c r="R108" s="35"/>
      <c r="S108" s="35">
        <v>10218148</v>
      </c>
      <c r="T108" s="35"/>
      <c r="U108" s="35">
        <v>449278</v>
      </c>
      <c r="V108" s="35"/>
      <c r="W108" s="35">
        <v>67080</v>
      </c>
      <c r="X108" s="35"/>
      <c r="Y108" s="35">
        <v>0</v>
      </c>
      <c r="Z108" s="35"/>
      <c r="AA108" s="35">
        <v>207040</v>
      </c>
      <c r="AB108" s="35"/>
      <c r="AC108" s="35">
        <v>0</v>
      </c>
      <c r="AD108" s="35"/>
      <c r="AE108" s="35">
        <v>0</v>
      </c>
      <c r="AF108" s="35"/>
      <c r="AG108" s="35">
        <v>0</v>
      </c>
      <c r="AH108" s="35"/>
      <c r="AI108" s="35">
        <v>2321750</v>
      </c>
      <c r="AJ108" s="35"/>
      <c r="AK108" s="35">
        <f t="shared" si="27"/>
        <v>14537959</v>
      </c>
      <c r="AL108" s="35"/>
      <c r="AM108" s="35">
        <v>-1448193</v>
      </c>
      <c r="AN108" s="35"/>
      <c r="AO108" s="35">
        <v>23234004</v>
      </c>
      <c r="AP108" s="35"/>
      <c r="AQ108" s="35">
        <v>21785811</v>
      </c>
      <c r="AS108" s="39">
        <f t="shared" si="28"/>
        <v>0</v>
      </c>
      <c r="AT108" s="39"/>
      <c r="AU108" s="39">
        <f t="shared" si="29"/>
        <v>0</v>
      </c>
      <c r="AV108" s="39"/>
      <c r="AW108" s="39">
        <f t="shared" si="30"/>
        <v>0</v>
      </c>
      <c r="AX108" s="39"/>
      <c r="AY108" s="39">
        <f t="shared" si="31"/>
        <v>0</v>
      </c>
    </row>
    <row r="109" spans="1:51" s="7" customFormat="1" ht="12" x14ac:dyDescent="0.2">
      <c r="A109" s="7" t="s">
        <v>196</v>
      </c>
      <c r="C109" s="7" t="s">
        <v>795</v>
      </c>
      <c r="E109" s="35">
        <v>120735.5</v>
      </c>
      <c r="F109" s="35"/>
      <c r="G109" s="35">
        <v>0</v>
      </c>
      <c r="H109" s="35"/>
      <c r="I109" s="35">
        <v>10947.14</v>
      </c>
      <c r="J109" s="35"/>
      <c r="K109" s="35">
        <v>0</v>
      </c>
      <c r="L109" s="35"/>
      <c r="M109" s="35">
        <f t="shared" si="25"/>
        <v>-109788.36</v>
      </c>
      <c r="N109" s="35"/>
      <c r="O109" s="35">
        <f t="shared" si="26"/>
        <v>-109788.36</v>
      </c>
      <c r="P109" s="35"/>
      <c r="Q109" s="35">
        <v>603.84</v>
      </c>
      <c r="R109" s="35"/>
      <c r="S109" s="35">
        <v>0</v>
      </c>
      <c r="T109" s="35"/>
      <c r="U109" s="35">
        <v>0</v>
      </c>
      <c r="V109" s="35"/>
      <c r="W109" s="35">
        <v>26.76</v>
      </c>
      <c r="X109" s="35"/>
      <c r="Y109" s="35">
        <v>0</v>
      </c>
      <c r="Z109" s="35"/>
      <c r="AA109" s="35">
        <v>0</v>
      </c>
      <c r="AB109" s="35"/>
      <c r="AC109" s="35">
        <v>0</v>
      </c>
      <c r="AD109" s="35"/>
      <c r="AE109" s="35">
        <v>0</v>
      </c>
      <c r="AF109" s="35"/>
      <c r="AG109" s="35">
        <v>0</v>
      </c>
      <c r="AH109" s="35"/>
      <c r="AI109" s="35">
        <v>0</v>
      </c>
      <c r="AJ109" s="35"/>
      <c r="AK109" s="35">
        <f t="shared" si="27"/>
        <v>630.6</v>
      </c>
      <c r="AL109" s="35"/>
      <c r="AM109" s="35">
        <v>-109157.75999999999</v>
      </c>
      <c r="AN109" s="35"/>
      <c r="AO109" s="35">
        <v>263390.59000000003</v>
      </c>
      <c r="AP109" s="35"/>
      <c r="AQ109" s="35">
        <v>154232.82999999999</v>
      </c>
      <c r="AS109" s="39">
        <f t="shared" si="28"/>
        <v>0</v>
      </c>
      <c r="AT109" s="39"/>
      <c r="AU109" s="39">
        <f t="shared" si="29"/>
        <v>0</v>
      </c>
      <c r="AV109" s="39"/>
      <c r="AW109" s="39">
        <f t="shared" si="30"/>
        <v>0</v>
      </c>
      <c r="AX109" s="39"/>
      <c r="AY109" s="39">
        <f t="shared" si="31"/>
        <v>0</v>
      </c>
    </row>
    <row r="110" spans="1:51" s="7" customFormat="1" ht="12" x14ac:dyDescent="0.2">
      <c r="A110" s="7" t="s">
        <v>346</v>
      </c>
      <c r="C110" s="7" t="s">
        <v>343</v>
      </c>
      <c r="E110" s="35">
        <v>3616341</v>
      </c>
      <c r="F110" s="35"/>
      <c r="G110" s="35">
        <v>554504</v>
      </c>
      <c r="H110" s="35"/>
      <c r="I110" s="35">
        <v>-6753</v>
      </c>
      <c r="J110" s="35"/>
      <c r="K110" s="35">
        <v>0</v>
      </c>
      <c r="L110" s="35"/>
      <c r="M110" s="35">
        <f t="shared" si="25"/>
        <v>-3068590</v>
      </c>
      <c r="N110" s="35"/>
      <c r="O110" s="35">
        <f t="shared" si="26"/>
        <v>-3068590</v>
      </c>
      <c r="P110" s="35"/>
      <c r="Q110" s="35">
        <f>304129+2229952-1171275</f>
        <v>1362806</v>
      </c>
      <c r="R110" s="35"/>
      <c r="S110" s="35">
        <v>2000730</v>
      </c>
      <c r="T110" s="35"/>
      <c r="U110" s="35">
        <v>191331</v>
      </c>
      <c r="V110" s="35"/>
      <c r="W110" s="35">
        <v>29469</v>
      </c>
      <c r="X110" s="35"/>
      <c r="Y110" s="35">
        <v>0</v>
      </c>
      <c r="Z110" s="35"/>
      <c r="AA110" s="35">
        <v>7900</v>
      </c>
      <c r="AB110" s="35"/>
      <c r="AC110" s="35">
        <v>0</v>
      </c>
      <c r="AD110" s="35"/>
      <c r="AE110" s="35">
        <v>72835</v>
      </c>
      <c r="AF110" s="35"/>
      <c r="AG110" s="35">
        <v>0</v>
      </c>
      <c r="AH110" s="35"/>
      <c r="AI110" s="35">
        <v>0</v>
      </c>
      <c r="AJ110" s="35"/>
      <c r="AK110" s="35">
        <f t="shared" si="27"/>
        <v>3665071</v>
      </c>
      <c r="AL110" s="35"/>
      <c r="AM110" s="35">
        <f>AK110+M110</f>
        <v>596481</v>
      </c>
      <c r="AN110" s="35"/>
      <c r="AO110" s="35">
        <f>AQ110-AM110</f>
        <v>6961197</v>
      </c>
      <c r="AP110" s="35"/>
      <c r="AQ110" s="35">
        <v>7557678</v>
      </c>
      <c r="AS110" s="39">
        <f t="shared" si="28"/>
        <v>0</v>
      </c>
      <c r="AT110" s="39"/>
      <c r="AU110" s="39">
        <f t="shared" si="29"/>
        <v>0</v>
      </c>
      <c r="AV110" s="39"/>
      <c r="AW110" s="39">
        <f t="shared" si="30"/>
        <v>0</v>
      </c>
      <c r="AX110" s="39"/>
      <c r="AY110" s="39">
        <f t="shared" si="31"/>
        <v>0</v>
      </c>
    </row>
    <row r="111" spans="1:51" s="7" customFormat="1" ht="12" x14ac:dyDescent="0.2">
      <c r="A111" s="7" t="s">
        <v>844</v>
      </c>
      <c r="C111" s="7" t="s">
        <v>312</v>
      </c>
      <c r="E111" s="35">
        <v>53699.74</v>
      </c>
      <c r="F111" s="35"/>
      <c r="G111" s="35">
        <v>0</v>
      </c>
      <c r="H111" s="35"/>
      <c r="I111" s="35">
        <v>11712.82</v>
      </c>
      <c r="J111" s="35"/>
      <c r="K111" s="35">
        <v>0</v>
      </c>
      <c r="L111" s="35"/>
      <c r="M111" s="35">
        <f t="shared" si="25"/>
        <v>-41986.92</v>
      </c>
      <c r="N111" s="35"/>
      <c r="O111" s="35">
        <f t="shared" si="26"/>
        <v>-41986.92</v>
      </c>
      <c r="P111" s="35"/>
      <c r="Q111" s="35">
        <v>0</v>
      </c>
      <c r="R111" s="35"/>
      <c r="S111" s="35">
        <v>0</v>
      </c>
      <c r="T111" s="35"/>
      <c r="U111" s="35">
        <v>0</v>
      </c>
      <c r="V111" s="35"/>
      <c r="W111" s="35">
        <v>282.33999999999997</v>
      </c>
      <c r="X111" s="35"/>
      <c r="Y111" s="35">
        <v>0</v>
      </c>
      <c r="Z111" s="35"/>
      <c r="AA111" s="35">
        <v>0</v>
      </c>
      <c r="AB111" s="35"/>
      <c r="AC111" s="35">
        <v>0</v>
      </c>
      <c r="AD111" s="35"/>
      <c r="AE111" s="35">
        <v>0</v>
      </c>
      <c r="AF111" s="35"/>
      <c r="AG111" s="35">
        <v>0</v>
      </c>
      <c r="AH111" s="35"/>
      <c r="AI111" s="35">
        <v>0</v>
      </c>
      <c r="AJ111" s="35"/>
      <c r="AK111" s="35">
        <f t="shared" si="27"/>
        <v>282.33999999999997</v>
      </c>
      <c r="AL111" s="35"/>
      <c r="AM111" s="35">
        <v>-41704.58</v>
      </c>
      <c r="AN111" s="35"/>
      <c r="AO111" s="35">
        <v>93496.5</v>
      </c>
      <c r="AP111" s="35"/>
      <c r="AQ111" s="35">
        <v>51791.92</v>
      </c>
      <c r="AS111" s="39">
        <f t="shared" si="28"/>
        <v>0</v>
      </c>
      <c r="AT111" s="39"/>
      <c r="AU111" s="39">
        <f t="shared" si="29"/>
        <v>0</v>
      </c>
      <c r="AV111" s="39"/>
      <c r="AW111" s="39">
        <f t="shared" si="30"/>
        <v>0</v>
      </c>
      <c r="AX111" s="39"/>
      <c r="AY111" s="39">
        <f t="shared" si="31"/>
        <v>0</v>
      </c>
    </row>
    <row r="112" spans="1:51" s="7" customFormat="1" ht="12" x14ac:dyDescent="0.2">
      <c r="A112" s="7" t="s">
        <v>151</v>
      </c>
      <c r="C112" s="7" t="s">
        <v>780</v>
      </c>
      <c r="E112" s="35">
        <v>58163.48</v>
      </c>
      <c r="F112" s="35"/>
      <c r="G112" s="35">
        <v>785</v>
      </c>
      <c r="H112" s="35"/>
      <c r="I112" s="35">
        <v>14317.37</v>
      </c>
      <c r="J112" s="35"/>
      <c r="K112" s="35">
        <v>0</v>
      </c>
      <c r="L112" s="35"/>
      <c r="M112" s="35">
        <f t="shared" si="25"/>
        <v>-43061.11</v>
      </c>
      <c r="N112" s="35"/>
      <c r="O112" s="35">
        <f t="shared" si="26"/>
        <v>-43061.11</v>
      </c>
      <c r="P112" s="35"/>
      <c r="Q112" s="35">
        <v>35886.800000000003</v>
      </c>
      <c r="R112" s="35"/>
      <c r="S112" s="35">
        <v>0</v>
      </c>
      <c r="T112" s="35"/>
      <c r="U112" s="35">
        <v>17732.419999999998</v>
      </c>
      <c r="V112" s="35"/>
      <c r="W112" s="35">
        <v>0</v>
      </c>
      <c r="X112" s="35"/>
      <c r="Y112" s="35">
        <v>0</v>
      </c>
      <c r="Z112" s="35"/>
      <c r="AA112" s="35">
        <v>75549.47</v>
      </c>
      <c r="AB112" s="35"/>
      <c r="AC112" s="35">
        <v>12650</v>
      </c>
      <c r="AD112" s="35"/>
      <c r="AE112" s="35">
        <v>0</v>
      </c>
      <c r="AF112" s="35"/>
      <c r="AG112" s="35">
        <v>0</v>
      </c>
      <c r="AH112" s="35"/>
      <c r="AI112" s="35">
        <v>0</v>
      </c>
      <c r="AJ112" s="35"/>
      <c r="AK112" s="35">
        <f t="shared" si="27"/>
        <v>141818.69</v>
      </c>
      <c r="AL112" s="35"/>
      <c r="AM112" s="35">
        <v>98757.58</v>
      </c>
      <c r="AN112" s="35"/>
      <c r="AO112" s="35">
        <v>262596.71999999997</v>
      </c>
      <c r="AP112" s="35"/>
      <c r="AQ112" s="35">
        <v>361354.3</v>
      </c>
      <c r="AS112" s="39">
        <f t="shared" si="28"/>
        <v>0</v>
      </c>
      <c r="AT112" s="39"/>
      <c r="AU112" s="39">
        <f t="shared" si="29"/>
        <v>0</v>
      </c>
      <c r="AV112" s="39"/>
      <c r="AW112" s="39">
        <f t="shared" si="30"/>
        <v>0</v>
      </c>
      <c r="AX112" s="39"/>
      <c r="AY112" s="39">
        <f t="shared" si="31"/>
        <v>0</v>
      </c>
    </row>
    <row r="113" spans="1:51" s="7" customFormat="1" ht="12" x14ac:dyDescent="0.2">
      <c r="A113" s="7" t="s">
        <v>50</v>
      </c>
      <c r="C113" s="7" t="s">
        <v>751</v>
      </c>
      <c r="E113" s="35">
        <v>7712991.75</v>
      </c>
      <c r="F113" s="35"/>
      <c r="G113" s="35">
        <v>351088.64000000001</v>
      </c>
      <c r="H113" s="35"/>
      <c r="I113" s="35">
        <v>195863.3</v>
      </c>
      <c r="J113" s="35"/>
      <c r="K113" s="35">
        <v>0</v>
      </c>
      <c r="L113" s="35"/>
      <c r="M113" s="35">
        <f t="shared" si="25"/>
        <v>-7166039.8100000005</v>
      </c>
      <c r="N113" s="35"/>
      <c r="O113" s="35">
        <f t="shared" si="26"/>
        <v>-7166039.8100000005</v>
      </c>
      <c r="P113" s="35"/>
      <c r="Q113" s="35">
        <v>117959.79</v>
      </c>
      <c r="R113" s="35"/>
      <c r="S113" s="35">
        <v>3390673.03</v>
      </c>
      <c r="T113" s="35"/>
      <c r="U113" s="35">
        <v>1941108.89</v>
      </c>
      <c r="V113" s="35"/>
      <c r="W113" s="35">
        <v>830.88</v>
      </c>
      <c r="X113" s="35"/>
      <c r="Y113" s="35">
        <v>0</v>
      </c>
      <c r="Z113" s="35"/>
      <c r="AA113" s="35">
        <v>216521.56</v>
      </c>
      <c r="AB113" s="35"/>
      <c r="AC113" s="35">
        <v>850</v>
      </c>
      <c r="AD113" s="35"/>
      <c r="AE113" s="35">
        <v>0</v>
      </c>
      <c r="AF113" s="35"/>
      <c r="AG113" s="35">
        <v>0</v>
      </c>
      <c r="AH113" s="35"/>
      <c r="AI113" s="35">
        <v>0</v>
      </c>
      <c r="AJ113" s="35"/>
      <c r="AK113" s="35">
        <f t="shared" si="27"/>
        <v>5667944.1499999994</v>
      </c>
      <c r="AL113" s="35"/>
      <c r="AM113" s="35">
        <v>-1498095.66</v>
      </c>
      <c r="AN113" s="35"/>
      <c r="AO113" s="35">
        <v>4284020.59</v>
      </c>
      <c r="AP113" s="35"/>
      <c r="AQ113" s="35">
        <v>2785924.93</v>
      </c>
      <c r="AS113" s="39">
        <f t="shared" si="28"/>
        <v>0</v>
      </c>
      <c r="AT113" s="39"/>
      <c r="AU113" s="39">
        <f t="shared" si="29"/>
        <v>0</v>
      </c>
      <c r="AV113" s="39"/>
      <c r="AW113" s="39">
        <f t="shared" si="30"/>
        <v>0</v>
      </c>
      <c r="AX113" s="39"/>
      <c r="AY113" s="39">
        <f t="shared" si="31"/>
        <v>0</v>
      </c>
    </row>
    <row r="114" spans="1:51" s="7" customFormat="1" ht="12" x14ac:dyDescent="0.2">
      <c r="A114" s="7" t="s">
        <v>965</v>
      </c>
      <c r="C114" s="7" t="s">
        <v>506</v>
      </c>
      <c r="E114" s="35">
        <v>3010195</v>
      </c>
      <c r="F114" s="35"/>
      <c r="G114" s="35">
        <v>221387</v>
      </c>
      <c r="H114" s="35"/>
      <c r="I114" s="35">
        <v>255905</v>
      </c>
      <c r="J114" s="35"/>
      <c r="K114" s="35">
        <v>0</v>
      </c>
      <c r="L114" s="35"/>
      <c r="M114" s="35">
        <f t="shared" si="25"/>
        <v>-2532903</v>
      </c>
      <c r="N114" s="35"/>
      <c r="O114" s="35">
        <f t="shared" si="26"/>
        <v>-2532903</v>
      </c>
      <c r="P114" s="35"/>
      <c r="Q114" s="35">
        <f>84079+499937</f>
        <v>584016</v>
      </c>
      <c r="R114" s="35"/>
      <c r="S114" s="35">
        <v>1315630</v>
      </c>
      <c r="T114" s="35"/>
      <c r="U114" s="35">
        <v>487120</v>
      </c>
      <c r="V114" s="35"/>
      <c r="W114" s="35">
        <v>791</v>
      </c>
      <c r="X114" s="35"/>
      <c r="Y114" s="35">
        <v>0</v>
      </c>
      <c r="Z114" s="35"/>
      <c r="AA114" s="35">
        <v>73906</v>
      </c>
      <c r="AB114" s="35"/>
      <c r="AC114" s="35">
        <v>0</v>
      </c>
      <c r="AD114" s="35"/>
      <c r="AE114" s="35">
        <v>0</v>
      </c>
      <c r="AF114" s="35"/>
      <c r="AG114" s="35">
        <v>0</v>
      </c>
      <c r="AH114" s="35"/>
      <c r="AI114" s="35">
        <v>0</v>
      </c>
      <c r="AJ114" s="35"/>
      <c r="AK114" s="35">
        <f t="shared" si="27"/>
        <v>2461463</v>
      </c>
      <c r="AL114" s="35"/>
      <c r="AM114" s="35">
        <v>-71440</v>
      </c>
      <c r="AN114" s="35"/>
      <c r="AO114" s="35">
        <v>4670089</v>
      </c>
      <c r="AP114" s="35"/>
      <c r="AQ114" s="35">
        <v>4598649</v>
      </c>
      <c r="AS114" s="39">
        <f t="shared" si="28"/>
        <v>0</v>
      </c>
      <c r="AT114" s="39"/>
      <c r="AU114" s="39">
        <f t="shared" si="29"/>
        <v>0</v>
      </c>
      <c r="AV114" s="39"/>
      <c r="AW114" s="39">
        <f t="shared" si="30"/>
        <v>0</v>
      </c>
      <c r="AX114" s="39"/>
      <c r="AY114" s="39">
        <f t="shared" si="31"/>
        <v>0</v>
      </c>
    </row>
    <row r="115" spans="1:51" s="7" customFormat="1" ht="12" x14ac:dyDescent="0.2">
      <c r="A115" s="30" t="s">
        <v>583</v>
      </c>
      <c r="C115" s="30" t="s">
        <v>581</v>
      </c>
      <c r="E115" s="35">
        <v>1225927</v>
      </c>
      <c r="F115" s="35"/>
      <c r="G115" s="35">
        <v>68194</v>
      </c>
      <c r="H115" s="35"/>
      <c r="I115" s="35">
        <v>183746</v>
      </c>
      <c r="J115" s="35"/>
      <c r="K115" s="35">
        <v>0</v>
      </c>
      <c r="L115" s="35"/>
      <c r="M115" s="35">
        <f t="shared" si="25"/>
        <v>-973987</v>
      </c>
      <c r="N115" s="35"/>
      <c r="O115" s="35">
        <f t="shared" si="26"/>
        <v>-973987</v>
      </c>
      <c r="P115" s="35"/>
      <c r="Q115" s="35">
        <f>96464+332193+47611</f>
        <v>476268</v>
      </c>
      <c r="R115" s="35"/>
      <c r="S115" s="35">
        <v>384947</v>
      </c>
      <c r="T115" s="35"/>
      <c r="U115" s="35">
        <v>174363</v>
      </c>
      <c r="V115" s="35"/>
      <c r="W115" s="35">
        <v>2693</v>
      </c>
      <c r="X115" s="35"/>
      <c r="Y115" s="35">
        <v>38522</v>
      </c>
      <c r="Z115" s="35"/>
      <c r="AA115" s="35">
        <f>1000+112576</f>
        <v>113576</v>
      </c>
      <c r="AB115" s="35"/>
      <c r="AC115" s="35">
        <v>0</v>
      </c>
      <c r="AD115" s="35"/>
      <c r="AE115" s="35">
        <v>0</v>
      </c>
      <c r="AF115" s="35"/>
      <c r="AG115" s="35">
        <v>0</v>
      </c>
      <c r="AH115" s="35"/>
      <c r="AI115" s="35">
        <v>0</v>
      </c>
      <c r="AJ115" s="35"/>
      <c r="AK115" s="35">
        <f t="shared" si="27"/>
        <v>1190369</v>
      </c>
      <c r="AL115" s="35"/>
      <c r="AM115" s="35">
        <v>216382</v>
      </c>
      <c r="AN115" s="35"/>
      <c r="AO115" s="35">
        <v>890159</v>
      </c>
      <c r="AP115" s="35"/>
      <c r="AQ115" s="35">
        <v>1106541</v>
      </c>
      <c r="AS115" s="39">
        <f t="shared" si="28"/>
        <v>0</v>
      </c>
      <c r="AT115" s="39"/>
      <c r="AU115" s="39">
        <f t="shared" si="29"/>
        <v>0</v>
      </c>
      <c r="AV115" s="39"/>
      <c r="AW115" s="39">
        <f t="shared" si="30"/>
        <v>0</v>
      </c>
      <c r="AX115" s="39"/>
      <c r="AY115" s="39">
        <f t="shared" si="31"/>
        <v>0</v>
      </c>
    </row>
    <row r="116" spans="1:51" s="7" customFormat="1" ht="12" x14ac:dyDescent="0.2">
      <c r="A116" s="7" t="s">
        <v>453</v>
      </c>
      <c r="C116" s="7" t="s">
        <v>776</v>
      </c>
      <c r="E116" s="35">
        <v>3751383</v>
      </c>
      <c r="F116" s="35"/>
      <c r="G116" s="35">
        <v>210351</v>
      </c>
      <c r="H116" s="35"/>
      <c r="I116" s="35">
        <v>15649</v>
      </c>
      <c r="J116" s="35"/>
      <c r="K116" s="35">
        <v>584585</v>
      </c>
      <c r="L116" s="35"/>
      <c r="M116" s="35">
        <f t="shared" si="25"/>
        <v>-2940798</v>
      </c>
      <c r="N116" s="35"/>
      <c r="O116" s="35">
        <f t="shared" si="26"/>
        <v>-2940798</v>
      </c>
      <c r="P116" s="35"/>
      <c r="Q116" s="35">
        <v>623486</v>
      </c>
      <c r="R116" s="35"/>
      <c r="S116" s="35">
        <v>1544878</v>
      </c>
      <c r="T116" s="35"/>
      <c r="U116" s="35">
        <v>348701</v>
      </c>
      <c r="V116" s="35"/>
      <c r="W116" s="35">
        <v>75390</v>
      </c>
      <c r="X116" s="35"/>
      <c r="Y116" s="35">
        <v>0</v>
      </c>
      <c r="Z116" s="35"/>
      <c r="AA116" s="35">
        <f>76751+36556</f>
        <v>113307</v>
      </c>
      <c r="AB116" s="35"/>
      <c r="AC116" s="35">
        <v>122932</v>
      </c>
      <c r="AD116" s="35"/>
      <c r="AE116" s="35">
        <v>0</v>
      </c>
      <c r="AF116" s="35"/>
      <c r="AG116" s="35">
        <v>0</v>
      </c>
      <c r="AH116" s="35"/>
      <c r="AI116" s="35">
        <v>0</v>
      </c>
      <c r="AJ116" s="35"/>
      <c r="AK116" s="35">
        <f t="shared" si="27"/>
        <v>2828694</v>
      </c>
      <c r="AL116" s="35"/>
      <c r="AM116" s="35">
        <v>-112104</v>
      </c>
      <c r="AN116" s="35"/>
      <c r="AO116" s="35">
        <v>2531715</v>
      </c>
      <c r="AP116" s="35"/>
      <c r="AQ116" s="35">
        <v>2419611</v>
      </c>
      <c r="AS116" s="39">
        <f t="shared" si="28"/>
        <v>0</v>
      </c>
      <c r="AT116" s="39"/>
      <c r="AU116" s="39">
        <f t="shared" si="29"/>
        <v>0</v>
      </c>
      <c r="AV116" s="39"/>
      <c r="AW116" s="39">
        <f t="shared" si="30"/>
        <v>0</v>
      </c>
      <c r="AX116" s="39"/>
      <c r="AY116" s="39">
        <f t="shared" si="31"/>
        <v>0</v>
      </c>
    </row>
    <row r="117" spans="1:51" s="7" customFormat="1" ht="12" x14ac:dyDescent="0.2">
      <c r="A117" s="7" t="s">
        <v>135</v>
      </c>
      <c r="C117" s="7" t="s">
        <v>775</v>
      </c>
      <c r="E117" s="35">
        <v>699184.8</v>
      </c>
      <c r="F117" s="35"/>
      <c r="G117" s="35">
        <v>110453.15</v>
      </c>
      <c r="H117" s="35"/>
      <c r="I117" s="35">
        <v>73656.740000000005</v>
      </c>
      <c r="J117" s="35"/>
      <c r="K117" s="35">
        <v>0</v>
      </c>
      <c r="L117" s="35"/>
      <c r="M117" s="35">
        <f t="shared" si="25"/>
        <v>-515074.91000000003</v>
      </c>
      <c r="N117" s="35"/>
      <c r="O117" s="35">
        <f t="shared" si="26"/>
        <v>-515074.91000000003</v>
      </c>
      <c r="P117" s="35"/>
      <c r="Q117" s="35">
        <v>253807.52</v>
      </c>
      <c r="R117" s="35"/>
      <c r="S117" s="35">
        <v>0</v>
      </c>
      <c r="T117" s="35"/>
      <c r="U117" s="35">
        <v>82049.179999999993</v>
      </c>
      <c r="V117" s="35"/>
      <c r="W117" s="35">
        <v>4917.57</v>
      </c>
      <c r="X117" s="35"/>
      <c r="Y117" s="35">
        <v>0</v>
      </c>
      <c r="Z117" s="35"/>
      <c r="AA117" s="35">
        <v>71990.899999999994</v>
      </c>
      <c r="AB117" s="35"/>
      <c r="AC117" s="35">
        <v>0</v>
      </c>
      <c r="AD117" s="35"/>
      <c r="AE117" s="35">
        <v>-23793.33</v>
      </c>
      <c r="AF117" s="35"/>
      <c r="AG117" s="35">
        <v>0</v>
      </c>
      <c r="AH117" s="35"/>
      <c r="AI117" s="35">
        <v>0</v>
      </c>
      <c r="AJ117" s="35"/>
      <c r="AK117" s="35">
        <f t="shared" si="27"/>
        <v>388971.83999999991</v>
      </c>
      <c r="AL117" s="35"/>
      <c r="AM117" s="35">
        <v>-126103.07</v>
      </c>
      <c r="AN117" s="35"/>
      <c r="AO117" s="35">
        <v>724480.51</v>
      </c>
      <c r="AP117" s="35"/>
      <c r="AQ117" s="35">
        <v>598377.43999999994</v>
      </c>
      <c r="AS117" s="39">
        <f t="shared" si="28"/>
        <v>0</v>
      </c>
      <c r="AT117" s="39"/>
      <c r="AU117" s="39">
        <f t="shared" si="29"/>
        <v>0</v>
      </c>
      <c r="AV117" s="39"/>
      <c r="AW117" s="39">
        <f t="shared" si="30"/>
        <v>-1.1641532182693481E-10</v>
      </c>
      <c r="AX117" s="39"/>
      <c r="AY117" s="39">
        <f t="shared" si="31"/>
        <v>0</v>
      </c>
    </row>
    <row r="118" spans="1:51" s="7" customFormat="1" ht="12" x14ac:dyDescent="0.2">
      <c r="A118" s="7" t="s">
        <v>250</v>
      </c>
      <c r="C118" s="7" t="s">
        <v>811</v>
      </c>
      <c r="E118" s="35">
        <v>1066067.68</v>
      </c>
      <c r="F118" s="35"/>
      <c r="G118" s="35">
        <v>69155.600000000006</v>
      </c>
      <c r="H118" s="35"/>
      <c r="I118" s="35">
        <v>78836.02</v>
      </c>
      <c r="J118" s="35"/>
      <c r="K118" s="35">
        <v>8950</v>
      </c>
      <c r="L118" s="35"/>
      <c r="M118" s="35">
        <f t="shared" si="25"/>
        <v>-909126.05999999994</v>
      </c>
      <c r="N118" s="35"/>
      <c r="O118" s="35">
        <f t="shared" si="26"/>
        <v>-909126.05999999994</v>
      </c>
      <c r="P118" s="35"/>
      <c r="Q118" s="35">
        <v>60893.46</v>
      </c>
      <c r="R118" s="35"/>
      <c r="S118" s="35">
        <v>227571.61</v>
      </c>
      <c r="T118" s="35"/>
      <c r="U118" s="35">
        <v>43151.67</v>
      </c>
      <c r="V118" s="35"/>
      <c r="W118" s="35">
        <v>1504.9</v>
      </c>
      <c r="X118" s="35"/>
      <c r="Y118" s="35">
        <v>0</v>
      </c>
      <c r="Z118" s="35"/>
      <c r="AA118" s="35">
        <v>422531.7</v>
      </c>
      <c r="AB118" s="35"/>
      <c r="AC118" s="35">
        <v>59588.71</v>
      </c>
      <c r="AD118" s="35"/>
      <c r="AE118" s="35">
        <v>109094.09</v>
      </c>
      <c r="AF118" s="35"/>
      <c r="AG118" s="35">
        <v>0</v>
      </c>
      <c r="AH118" s="35"/>
      <c r="AI118" s="35">
        <v>0</v>
      </c>
      <c r="AJ118" s="35"/>
      <c r="AK118" s="35">
        <f t="shared" si="27"/>
        <v>924336.14</v>
      </c>
      <c r="AL118" s="35"/>
      <c r="AM118" s="35">
        <v>15210.08</v>
      </c>
      <c r="AN118" s="35"/>
      <c r="AO118" s="35">
        <v>342033.94</v>
      </c>
      <c r="AP118" s="35"/>
      <c r="AQ118" s="35">
        <v>357244.02</v>
      </c>
      <c r="AS118" s="39">
        <f t="shared" si="28"/>
        <v>0</v>
      </c>
      <c r="AT118" s="39"/>
      <c r="AU118" s="39">
        <f t="shared" si="29"/>
        <v>0</v>
      </c>
      <c r="AV118" s="39"/>
      <c r="AW118" s="39">
        <f t="shared" si="30"/>
        <v>7.4578565545380116E-11</v>
      </c>
      <c r="AX118" s="39"/>
      <c r="AY118" s="39">
        <f t="shared" si="31"/>
        <v>0</v>
      </c>
    </row>
    <row r="119" spans="1:51" s="7" customFormat="1" ht="12" x14ac:dyDescent="0.2">
      <c r="A119" s="7" t="s">
        <v>599</v>
      </c>
      <c r="C119" s="7" t="s">
        <v>596</v>
      </c>
      <c r="E119" s="35">
        <v>1377212.71</v>
      </c>
      <c r="F119" s="35"/>
      <c r="G119" s="35">
        <v>33102.94</v>
      </c>
      <c r="H119" s="35"/>
      <c r="I119" s="35">
        <v>281541.15000000002</v>
      </c>
      <c r="J119" s="35"/>
      <c r="K119" s="35">
        <v>0</v>
      </c>
      <c r="L119" s="35"/>
      <c r="M119" s="35">
        <f t="shared" si="25"/>
        <v>-1062568.6199999999</v>
      </c>
      <c r="N119" s="35"/>
      <c r="O119" s="35">
        <f t="shared" si="26"/>
        <v>-1062568.6200000001</v>
      </c>
      <c r="P119" s="35"/>
      <c r="Q119" s="35">
        <v>172091.59999999998</v>
      </c>
      <c r="R119" s="35"/>
      <c r="S119" s="35">
        <v>670012.28</v>
      </c>
      <c r="T119" s="35"/>
      <c r="U119" s="35">
        <v>58151.88</v>
      </c>
      <c r="V119" s="35"/>
      <c r="W119" s="35">
        <v>5353.12</v>
      </c>
      <c r="X119" s="35"/>
      <c r="Y119" s="35">
        <v>15972.75</v>
      </c>
      <c r="Z119" s="35"/>
      <c r="AA119" s="35">
        <v>30691.629999999997</v>
      </c>
      <c r="AB119" s="35"/>
      <c r="AC119" s="35">
        <v>0</v>
      </c>
      <c r="AD119" s="35"/>
      <c r="AE119" s="35">
        <v>0</v>
      </c>
      <c r="AF119" s="35"/>
      <c r="AG119" s="35">
        <v>0</v>
      </c>
      <c r="AH119" s="35"/>
      <c r="AI119" s="35">
        <v>0</v>
      </c>
      <c r="AJ119" s="35"/>
      <c r="AK119" s="35">
        <f t="shared" si="27"/>
        <v>952273.26</v>
      </c>
      <c r="AL119" s="35"/>
      <c r="AM119" s="35">
        <v>-110295.36</v>
      </c>
      <c r="AN119" s="35"/>
      <c r="AO119" s="35">
        <v>1352904.52</v>
      </c>
      <c r="AP119" s="35"/>
      <c r="AQ119" s="35">
        <v>1242609.1599999999</v>
      </c>
      <c r="AS119" s="39">
        <f t="shared" si="28"/>
        <v>0</v>
      </c>
      <c r="AT119" s="39"/>
      <c r="AU119" s="39">
        <f t="shared" si="29"/>
        <v>0</v>
      </c>
      <c r="AV119" s="39"/>
      <c r="AW119" s="39">
        <f t="shared" si="30"/>
        <v>0</v>
      </c>
      <c r="AX119" s="39"/>
      <c r="AY119" s="39">
        <f t="shared" si="31"/>
        <v>0</v>
      </c>
    </row>
    <row r="120" spans="1:51" s="7" customFormat="1" ht="12" x14ac:dyDescent="0.2">
      <c r="A120" s="7" t="s">
        <v>155</v>
      </c>
      <c r="C120" s="7" t="s">
        <v>781</v>
      </c>
      <c r="E120" s="35">
        <v>1243258.3799999999</v>
      </c>
      <c r="F120" s="35"/>
      <c r="G120" s="35">
        <v>26655.51</v>
      </c>
      <c r="H120" s="35"/>
      <c r="I120" s="35">
        <v>59006.32</v>
      </c>
      <c r="J120" s="35"/>
      <c r="K120" s="35">
        <v>0</v>
      </c>
      <c r="L120" s="35"/>
      <c r="M120" s="35">
        <f t="shared" si="25"/>
        <v>-1157596.5499999998</v>
      </c>
      <c r="N120" s="35"/>
      <c r="O120" s="35">
        <f t="shared" si="26"/>
        <v>-1157596.5499999998</v>
      </c>
      <c r="P120" s="35"/>
      <c r="Q120" s="35">
        <v>134893.27000000002</v>
      </c>
      <c r="R120" s="35"/>
      <c r="S120" s="35">
        <v>991289.74</v>
      </c>
      <c r="T120" s="35"/>
      <c r="U120" s="35">
        <v>41410.07</v>
      </c>
      <c r="V120" s="35"/>
      <c r="W120" s="35">
        <v>0</v>
      </c>
      <c r="X120" s="35"/>
      <c r="Y120" s="35">
        <v>0</v>
      </c>
      <c r="Z120" s="35"/>
      <c r="AA120" s="35">
        <v>65354.59</v>
      </c>
      <c r="AB120" s="35"/>
      <c r="AC120" s="35">
        <v>0</v>
      </c>
      <c r="AD120" s="35"/>
      <c r="AE120" s="35">
        <v>-116000</v>
      </c>
      <c r="AF120" s="35"/>
      <c r="AG120" s="35">
        <v>0</v>
      </c>
      <c r="AH120" s="35"/>
      <c r="AI120" s="35">
        <v>0</v>
      </c>
      <c r="AJ120" s="35"/>
      <c r="AK120" s="35">
        <f t="shared" si="27"/>
        <v>1116947.6700000002</v>
      </c>
      <c r="AL120" s="35"/>
      <c r="AM120" s="35">
        <v>-40648.879999999997</v>
      </c>
      <c r="AN120" s="35"/>
      <c r="AO120" s="35">
        <v>1131120.72</v>
      </c>
      <c r="AP120" s="35"/>
      <c r="AQ120" s="35">
        <v>1090471.8400000001</v>
      </c>
      <c r="AS120" s="39">
        <f t="shared" si="28"/>
        <v>0</v>
      </c>
      <c r="AT120" s="39"/>
      <c r="AU120" s="39">
        <f t="shared" si="29"/>
        <v>0</v>
      </c>
      <c r="AV120" s="39"/>
      <c r="AW120" s="39">
        <f t="shared" si="30"/>
        <v>3.4197000786662102E-10</v>
      </c>
      <c r="AX120" s="39"/>
      <c r="AY120" s="39">
        <f t="shared" si="31"/>
        <v>0</v>
      </c>
    </row>
    <row r="121" spans="1:51" s="7" customFormat="1" ht="12" x14ac:dyDescent="0.2">
      <c r="A121" s="7" t="s">
        <v>192</v>
      </c>
      <c r="C121" s="7" t="s">
        <v>504</v>
      </c>
      <c r="E121" s="35">
        <v>116539.69</v>
      </c>
      <c r="F121" s="35"/>
      <c r="G121" s="35">
        <v>0</v>
      </c>
      <c r="H121" s="35"/>
      <c r="I121" s="35">
        <v>43168.22</v>
      </c>
      <c r="J121" s="35"/>
      <c r="K121" s="35">
        <v>0</v>
      </c>
      <c r="L121" s="35"/>
      <c r="M121" s="35">
        <f t="shared" si="25"/>
        <v>-73371.47</v>
      </c>
      <c r="N121" s="35"/>
      <c r="O121" s="35">
        <f t="shared" si="26"/>
        <v>-73371.47</v>
      </c>
      <c r="P121" s="35"/>
      <c r="Q121" s="35">
        <v>8419.5</v>
      </c>
      <c r="R121" s="35"/>
      <c r="S121" s="35">
        <v>0</v>
      </c>
      <c r="T121" s="35"/>
      <c r="U121" s="35">
        <v>0</v>
      </c>
      <c r="V121" s="35"/>
      <c r="W121" s="35">
        <v>0</v>
      </c>
      <c r="X121" s="35"/>
      <c r="Y121" s="35">
        <v>0</v>
      </c>
      <c r="Z121" s="35"/>
      <c r="AA121" s="35">
        <v>1705.61</v>
      </c>
      <c r="AB121" s="35"/>
      <c r="AC121" s="35">
        <v>0</v>
      </c>
      <c r="AD121" s="35"/>
      <c r="AE121" s="35">
        <v>0</v>
      </c>
      <c r="AF121" s="35"/>
      <c r="AG121" s="35">
        <v>0</v>
      </c>
      <c r="AH121" s="35"/>
      <c r="AI121" s="35">
        <v>0</v>
      </c>
      <c r="AJ121" s="35"/>
      <c r="AK121" s="35">
        <f t="shared" si="27"/>
        <v>10125.11</v>
      </c>
      <c r="AL121" s="35"/>
      <c r="AM121" s="35">
        <v>-63246.36</v>
      </c>
      <c r="AN121" s="35"/>
      <c r="AO121" s="35">
        <v>366147.18</v>
      </c>
      <c r="AP121" s="35"/>
      <c r="AQ121" s="35">
        <v>302900.82</v>
      </c>
      <c r="AS121" s="39">
        <f t="shared" si="28"/>
        <v>0</v>
      </c>
      <c r="AT121" s="39"/>
      <c r="AU121" s="39">
        <f t="shared" si="29"/>
        <v>0</v>
      </c>
      <c r="AV121" s="39"/>
      <c r="AW121" s="39">
        <f t="shared" si="30"/>
        <v>0</v>
      </c>
      <c r="AX121" s="39"/>
      <c r="AY121" s="39">
        <f t="shared" si="31"/>
        <v>0</v>
      </c>
    </row>
    <row r="122" spans="1:51" s="7" customFormat="1" ht="12" x14ac:dyDescent="0.2">
      <c r="A122" s="7" t="s">
        <v>1</v>
      </c>
      <c r="C122" s="7" t="s">
        <v>659</v>
      </c>
      <c r="E122" s="35">
        <v>302435.84000000003</v>
      </c>
      <c r="F122" s="35"/>
      <c r="G122" s="35">
        <v>82560.39</v>
      </c>
      <c r="H122" s="35"/>
      <c r="I122" s="35">
        <v>49601.78</v>
      </c>
      <c r="J122" s="35"/>
      <c r="K122" s="35">
        <v>0</v>
      </c>
      <c r="L122" s="35"/>
      <c r="M122" s="35">
        <f t="shared" si="25"/>
        <v>-170273.67000000004</v>
      </c>
      <c r="N122" s="35"/>
      <c r="O122" s="35">
        <f t="shared" si="26"/>
        <v>-170273.67</v>
      </c>
      <c r="P122" s="35"/>
      <c r="Q122" s="35">
        <v>134598.37</v>
      </c>
      <c r="R122" s="35"/>
      <c r="S122" s="35">
        <v>0</v>
      </c>
      <c r="T122" s="35"/>
      <c r="U122" s="35">
        <v>58668.82</v>
      </c>
      <c r="V122" s="35"/>
      <c r="W122" s="35">
        <v>460.98</v>
      </c>
      <c r="X122" s="35"/>
      <c r="Y122" s="35">
        <v>0</v>
      </c>
      <c r="Z122" s="35"/>
      <c r="AA122" s="35">
        <v>38789.97</v>
      </c>
      <c r="AB122" s="35"/>
      <c r="AC122" s="35">
        <v>0</v>
      </c>
      <c r="AD122" s="35"/>
      <c r="AE122" s="35">
        <v>0</v>
      </c>
      <c r="AF122" s="35"/>
      <c r="AG122" s="35">
        <v>0</v>
      </c>
      <c r="AH122" s="35"/>
      <c r="AI122" s="35">
        <v>0</v>
      </c>
      <c r="AJ122" s="35"/>
      <c r="AK122" s="35">
        <f t="shared" si="27"/>
        <v>232518.14</v>
      </c>
      <c r="AL122" s="35"/>
      <c r="AM122" s="35">
        <v>62244.47</v>
      </c>
      <c r="AN122" s="35"/>
      <c r="AO122" s="35">
        <v>114149.49</v>
      </c>
      <c r="AP122" s="35"/>
      <c r="AQ122" s="35">
        <v>176393.96</v>
      </c>
      <c r="AS122" s="39">
        <f t="shared" si="28"/>
        <v>0</v>
      </c>
      <c r="AT122" s="39"/>
      <c r="AU122" s="39">
        <f t="shared" si="29"/>
        <v>0</v>
      </c>
      <c r="AV122" s="39"/>
      <c r="AW122" s="39">
        <f t="shared" si="30"/>
        <v>0</v>
      </c>
      <c r="AX122" s="39"/>
      <c r="AY122" s="39">
        <f t="shared" si="31"/>
        <v>0</v>
      </c>
    </row>
    <row r="123" spans="1:51" s="7" customFormat="1" ht="12" x14ac:dyDescent="0.2">
      <c r="A123" s="7" t="s">
        <v>231</v>
      </c>
      <c r="C123" s="7" t="s">
        <v>557</v>
      </c>
      <c r="E123" s="35">
        <v>40687.74</v>
      </c>
      <c r="F123" s="35"/>
      <c r="G123" s="35">
        <v>0</v>
      </c>
      <c r="H123" s="35"/>
      <c r="I123" s="35">
        <v>4668.37</v>
      </c>
      <c r="J123" s="35"/>
      <c r="K123" s="35">
        <v>0</v>
      </c>
      <c r="L123" s="35"/>
      <c r="M123" s="35">
        <f t="shared" si="25"/>
        <v>-36019.369999999995</v>
      </c>
      <c r="N123" s="35"/>
      <c r="O123" s="35">
        <f t="shared" si="26"/>
        <v>-36019.369999999995</v>
      </c>
      <c r="P123" s="35"/>
      <c r="Q123" s="35">
        <v>11858.63</v>
      </c>
      <c r="R123" s="35"/>
      <c r="S123" s="35">
        <v>0</v>
      </c>
      <c r="T123" s="35"/>
      <c r="U123" s="35">
        <v>0</v>
      </c>
      <c r="V123" s="35"/>
      <c r="W123" s="35">
        <v>0</v>
      </c>
      <c r="X123" s="35"/>
      <c r="Y123" s="35">
        <v>0</v>
      </c>
      <c r="Z123" s="35"/>
      <c r="AA123" s="35">
        <v>0</v>
      </c>
      <c r="AB123" s="35"/>
      <c r="AC123" s="35">
        <v>0</v>
      </c>
      <c r="AD123" s="35"/>
      <c r="AE123" s="35">
        <v>0</v>
      </c>
      <c r="AF123" s="35"/>
      <c r="AG123" s="35">
        <v>0</v>
      </c>
      <c r="AH123" s="35"/>
      <c r="AI123" s="35">
        <v>0</v>
      </c>
      <c r="AJ123" s="35"/>
      <c r="AK123" s="35">
        <f t="shared" si="27"/>
        <v>11858.63</v>
      </c>
      <c r="AL123" s="35"/>
      <c r="AM123" s="35">
        <v>-24160.74</v>
      </c>
      <c r="AN123" s="35"/>
      <c r="AO123" s="35">
        <v>60165.39</v>
      </c>
      <c r="AP123" s="35"/>
      <c r="AQ123" s="35">
        <v>36004.65</v>
      </c>
      <c r="AS123" s="39">
        <f t="shared" si="28"/>
        <v>0</v>
      </c>
      <c r="AT123" s="39"/>
      <c r="AU123" s="39">
        <f t="shared" si="29"/>
        <v>0</v>
      </c>
      <c r="AV123" s="39"/>
      <c r="AW123" s="39">
        <f t="shared" si="30"/>
        <v>0</v>
      </c>
      <c r="AX123" s="39"/>
      <c r="AY123" s="39">
        <f t="shared" si="31"/>
        <v>0</v>
      </c>
    </row>
    <row r="124" spans="1:51" s="7" customFormat="1" ht="12" x14ac:dyDescent="0.2">
      <c r="A124" s="7" t="s">
        <v>578</v>
      </c>
      <c r="C124" s="7" t="s">
        <v>82</v>
      </c>
      <c r="E124" s="35">
        <v>53597</v>
      </c>
      <c r="F124" s="35"/>
      <c r="G124" s="35">
        <v>9603</v>
      </c>
      <c r="H124" s="35"/>
      <c r="I124" s="35">
        <v>27416</v>
      </c>
      <c r="J124" s="35"/>
      <c r="K124" s="35">
        <v>0</v>
      </c>
      <c r="L124" s="35"/>
      <c r="M124" s="35">
        <f t="shared" si="25"/>
        <v>-16578</v>
      </c>
      <c r="N124" s="35"/>
      <c r="O124" s="35">
        <f t="shared" si="26"/>
        <v>-16578</v>
      </c>
      <c r="P124" s="35"/>
      <c r="Q124" s="35">
        <f>3475+21223</f>
        <v>24698</v>
      </c>
      <c r="R124" s="35"/>
      <c r="S124" s="35">
        <v>0</v>
      </c>
      <c r="T124" s="35"/>
      <c r="U124" s="35">
        <v>4975</v>
      </c>
      <c r="V124" s="35"/>
      <c r="W124" s="35">
        <v>226</v>
      </c>
      <c r="X124" s="35"/>
      <c r="Y124" s="35">
        <v>0</v>
      </c>
      <c r="Z124" s="35"/>
      <c r="AA124" s="35">
        <v>1215</v>
      </c>
      <c r="AB124" s="35"/>
      <c r="AC124" s="35">
        <v>0</v>
      </c>
      <c r="AD124" s="35"/>
      <c r="AE124" s="35">
        <v>0</v>
      </c>
      <c r="AF124" s="35"/>
      <c r="AG124" s="35">
        <v>0</v>
      </c>
      <c r="AH124" s="35"/>
      <c r="AI124" s="35">
        <v>0</v>
      </c>
      <c r="AJ124" s="35"/>
      <c r="AK124" s="35">
        <f t="shared" si="27"/>
        <v>31114</v>
      </c>
      <c r="AL124" s="35"/>
      <c r="AM124" s="35">
        <v>14536</v>
      </c>
      <c r="AN124" s="35"/>
      <c r="AO124" s="35">
        <v>142500</v>
      </c>
      <c r="AP124" s="35"/>
      <c r="AQ124" s="35">
        <v>157036</v>
      </c>
      <c r="AS124" s="39">
        <f t="shared" si="28"/>
        <v>0</v>
      </c>
      <c r="AT124" s="39"/>
      <c r="AU124" s="39">
        <f t="shared" si="29"/>
        <v>0</v>
      </c>
      <c r="AV124" s="39"/>
      <c r="AW124" s="39">
        <f t="shared" si="30"/>
        <v>0</v>
      </c>
      <c r="AX124" s="39"/>
      <c r="AY124" s="39">
        <f t="shared" si="31"/>
        <v>0</v>
      </c>
    </row>
  </sheetData>
  <sortState ref="A12:AY125">
    <sortCondition ref="A12:A125"/>
    <sortCondition ref="C12:C125"/>
  </sortState>
  <mergeCells count="4">
    <mergeCell ref="W6:AC6"/>
    <mergeCell ref="Q6:U6"/>
    <mergeCell ref="G6:K6"/>
    <mergeCell ref="AS7:AY7"/>
  </mergeCells>
  <phoneticPr fontId="1" type="noConversion"/>
  <pageMargins left="0.75" right="0.75" top="0.5" bottom="0.5" header="0" footer="0.3"/>
  <pageSetup scale="60" firstPageNumber="4" fitToWidth="2" fitToHeight="4" pageOrder="overThenDown" orientation="portrait" useFirstPageNumber="1" verticalDpi="300" r:id="rId1"/>
  <headerFooter scaleWithDoc="0" alignWithMargins="0">
    <oddFooter>&amp;C&amp;11&amp;P</oddFooter>
  </headerFooter>
  <rowBreaks count="1" manualBreakCount="1">
    <brk id="99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4"/>
  <sheetViews>
    <sheetView view="pageBreakPreview" zoomScale="70" zoomScaleNormal="130" zoomScaleSheetLayoutView="70" workbookViewId="0">
      <pane xSplit="4" ySplit="7" topLeftCell="E492" activePane="bottomRight" state="frozen"/>
      <selection pane="topRight" activeCell="E1" sqref="E1"/>
      <selection pane="bottomLeft" activeCell="A8" sqref="A8"/>
      <selection pane="bottomRight" activeCell="A3" sqref="A3:XFD5"/>
    </sheetView>
  </sheetViews>
  <sheetFormatPr defaultColWidth="9.33203125" defaultRowHeight="12" x14ac:dyDescent="0.2"/>
  <cols>
    <col min="1" max="1" width="18.1640625" style="1" customWidth="1"/>
    <col min="2" max="2" width="1.83203125" style="1" customWidth="1"/>
    <col min="3" max="3" width="13.1640625" style="1" customWidth="1"/>
    <col min="4" max="4" width="1.33203125" style="1" customWidth="1"/>
    <col min="5" max="5" width="11.83203125" style="10" customWidth="1"/>
    <col min="6" max="6" width="1.83203125" style="10" customWidth="1"/>
    <col min="7" max="7" width="11.6640625" style="10" customWidth="1"/>
    <col min="8" max="8" width="1.33203125" style="10" customWidth="1"/>
    <col min="9" max="9" width="11.6640625" style="10" customWidth="1"/>
    <col min="10" max="10" width="1.33203125" style="10" customWidth="1"/>
    <col min="11" max="11" width="11.6640625" style="10" customWidth="1"/>
    <col min="12" max="12" width="1.33203125" style="10" customWidth="1"/>
    <col min="13" max="13" width="11.6640625" style="10" customWidth="1"/>
    <col min="14" max="14" width="1.33203125" style="10" customWidth="1"/>
    <col min="15" max="15" width="11.6640625" style="10" customWidth="1"/>
    <col min="16" max="16" width="1.33203125" style="10" customWidth="1"/>
    <col min="17" max="17" width="11.6640625" style="10" customWidth="1"/>
    <col min="18" max="18" width="1.83203125" style="10" hidden="1" customWidth="1"/>
    <col min="19" max="19" width="11.83203125" style="10" customWidth="1"/>
    <col min="20" max="20" width="1.33203125" style="10" customWidth="1"/>
    <col min="21" max="21" width="11.6640625" style="10" customWidth="1"/>
    <col min="22" max="22" width="1.33203125" style="10" customWidth="1"/>
    <col min="23" max="23" width="11.6640625" style="10" customWidth="1"/>
    <col min="24" max="24" width="1.33203125" style="10" customWidth="1"/>
    <col min="25" max="25" width="11.6640625" style="10" customWidth="1"/>
    <col min="26" max="26" width="1.33203125" style="10" customWidth="1"/>
    <col min="27" max="27" width="11.6640625" style="10" customWidth="1"/>
    <col min="28" max="28" width="1.33203125" style="10" customWidth="1"/>
    <col min="29" max="29" width="11.6640625" style="10" customWidth="1"/>
    <col min="30" max="30" width="1.33203125" style="10" customWidth="1"/>
    <col min="31" max="31" width="11.6640625" style="10" customWidth="1"/>
    <col min="32" max="32" width="1.33203125" style="10" customWidth="1"/>
    <col min="33" max="33" width="12" style="10" customWidth="1"/>
    <col min="34" max="34" width="1.5" style="10" customWidth="1"/>
    <col min="35" max="35" width="11.6640625" style="1" customWidth="1"/>
    <col min="36" max="36" width="2.1640625" style="1" customWidth="1"/>
    <col min="37" max="16384" width="9.33203125" style="1"/>
  </cols>
  <sheetData>
    <row r="1" spans="1:39" ht="12.6" customHeight="1" x14ac:dyDescent="0.2">
      <c r="A1" s="2" t="s">
        <v>615</v>
      </c>
      <c r="B1" s="2"/>
      <c r="C1" s="2"/>
      <c r="D1" s="2"/>
    </row>
    <row r="2" spans="1:39" ht="12.6" customHeight="1" x14ac:dyDescent="0.2">
      <c r="A2" s="2" t="s">
        <v>848</v>
      </c>
      <c r="B2" s="2"/>
      <c r="C2" s="2"/>
      <c r="D2" s="2"/>
    </row>
    <row r="3" spans="1:39" ht="12.6" customHeight="1" x14ac:dyDescent="0.2">
      <c r="A3" s="2" t="s">
        <v>953</v>
      </c>
      <c r="B3" s="2"/>
      <c r="C3" s="2"/>
      <c r="D3" s="2"/>
    </row>
    <row r="4" spans="1:39" s="9" customFormat="1" ht="12.6" customHeight="1" x14ac:dyDescent="0.2">
      <c r="A4" s="15" t="s">
        <v>850</v>
      </c>
      <c r="B4" s="2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8"/>
      <c r="AJ4" s="8"/>
      <c r="AK4" s="8"/>
      <c r="AL4" s="8"/>
      <c r="AM4" s="8"/>
    </row>
    <row r="5" spans="1:39" s="9" customFormat="1" ht="12.6" customHeight="1" x14ac:dyDescent="0.2">
      <c r="A5" s="2"/>
      <c r="B5" s="2"/>
      <c r="C5" s="2"/>
      <c r="D5" s="2"/>
      <c r="E5" s="16" t="s">
        <v>616</v>
      </c>
      <c r="F5" s="16"/>
      <c r="G5" s="11"/>
      <c r="H5" s="11"/>
      <c r="I5" s="11"/>
      <c r="J5" s="11"/>
      <c r="K5" s="11"/>
      <c r="L5" s="11"/>
      <c r="M5" s="11"/>
      <c r="N5" s="11"/>
      <c r="O5" s="16" t="s">
        <v>627</v>
      </c>
      <c r="P5" s="1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6" t="s">
        <v>635</v>
      </c>
      <c r="AF5" s="16"/>
      <c r="AG5" s="16" t="s">
        <v>968</v>
      </c>
      <c r="AH5" s="16"/>
      <c r="AI5" s="8"/>
      <c r="AJ5" s="8"/>
      <c r="AK5" s="8"/>
      <c r="AL5" s="8"/>
      <c r="AM5" s="8"/>
    </row>
    <row r="6" spans="1:39" s="9" customFormat="1" ht="12.6" customHeight="1" x14ac:dyDescent="0.2">
      <c r="A6" s="2"/>
      <c r="B6" s="2"/>
      <c r="C6" s="2"/>
      <c r="D6" s="2"/>
      <c r="E6" s="16" t="s">
        <v>617</v>
      </c>
      <c r="F6" s="16"/>
      <c r="G6" s="16" t="s">
        <v>619</v>
      </c>
      <c r="H6" s="16"/>
      <c r="I6" s="16" t="s">
        <v>621</v>
      </c>
      <c r="J6" s="16"/>
      <c r="K6" s="16" t="s">
        <v>623</v>
      </c>
      <c r="L6" s="16"/>
      <c r="M6" s="16" t="s">
        <v>625</v>
      </c>
      <c r="N6" s="16"/>
      <c r="O6" s="16" t="s">
        <v>628</v>
      </c>
      <c r="P6" s="16"/>
      <c r="Q6" s="16" t="s">
        <v>630</v>
      </c>
      <c r="R6" s="16"/>
      <c r="S6" s="11"/>
      <c r="T6" s="11"/>
      <c r="U6" s="12" t="s">
        <v>852</v>
      </c>
      <c r="V6" s="12"/>
      <c r="W6" s="12" t="s">
        <v>852</v>
      </c>
      <c r="X6" s="11"/>
      <c r="Y6" s="16" t="s">
        <v>632</v>
      </c>
      <c r="Z6" s="16"/>
      <c r="AA6" s="11"/>
      <c r="AB6" s="11"/>
      <c r="AC6" s="11"/>
      <c r="AD6" s="11"/>
      <c r="AE6" s="16" t="s">
        <v>636</v>
      </c>
      <c r="AF6" s="16"/>
      <c r="AG6" s="16" t="s">
        <v>724</v>
      </c>
      <c r="AH6" s="16"/>
      <c r="AI6" s="8"/>
      <c r="AJ6" s="8"/>
      <c r="AK6" s="8"/>
      <c r="AL6" s="8"/>
      <c r="AM6" s="8"/>
    </row>
    <row r="7" spans="1:39" s="6" customFormat="1" ht="12.6" customHeight="1" x14ac:dyDescent="0.2">
      <c r="A7" s="5" t="s">
        <v>726</v>
      </c>
      <c r="C7" s="5" t="s">
        <v>727</v>
      </c>
      <c r="E7" s="17" t="s">
        <v>618</v>
      </c>
      <c r="F7" s="43"/>
      <c r="G7" s="17" t="s">
        <v>620</v>
      </c>
      <c r="H7" s="43"/>
      <c r="I7" s="18" t="s">
        <v>622</v>
      </c>
      <c r="J7" s="26"/>
      <c r="K7" s="18" t="s">
        <v>624</v>
      </c>
      <c r="L7" s="26"/>
      <c r="M7" s="18" t="s">
        <v>626</v>
      </c>
      <c r="N7" s="26"/>
      <c r="O7" s="18" t="s">
        <v>629</v>
      </c>
      <c r="P7" s="26"/>
      <c r="Q7" s="18" t="s">
        <v>631</v>
      </c>
      <c r="R7" s="26"/>
      <c r="S7" s="18" t="s">
        <v>611</v>
      </c>
      <c r="T7" s="26"/>
      <c r="U7" s="13" t="s">
        <v>853</v>
      </c>
      <c r="V7" s="14"/>
      <c r="W7" s="13" t="s">
        <v>854</v>
      </c>
      <c r="X7" s="14"/>
      <c r="Y7" s="18" t="s">
        <v>633</v>
      </c>
      <c r="Z7" s="26"/>
      <c r="AA7" s="18" t="s">
        <v>613</v>
      </c>
      <c r="AB7" s="26"/>
      <c r="AC7" s="18" t="s">
        <v>634</v>
      </c>
      <c r="AD7" s="44"/>
      <c r="AE7" s="18" t="s">
        <v>637</v>
      </c>
      <c r="AF7" s="26"/>
      <c r="AG7" s="18" t="s">
        <v>736</v>
      </c>
      <c r="AH7" s="26"/>
      <c r="AI7" s="5" t="s">
        <v>815</v>
      </c>
    </row>
    <row r="8" spans="1:39" s="6" customFormat="1" ht="12" customHeight="1" x14ac:dyDescent="0.2">
      <c r="E8" s="43"/>
      <c r="F8" s="43"/>
      <c r="G8" s="43"/>
      <c r="H8" s="4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14"/>
      <c r="V8" s="14"/>
      <c r="W8" s="14"/>
      <c r="X8" s="14"/>
      <c r="Y8" s="26"/>
      <c r="Z8" s="26"/>
      <c r="AA8" s="26"/>
      <c r="AB8" s="26"/>
      <c r="AC8" s="26"/>
      <c r="AD8" s="44"/>
      <c r="AE8" s="26"/>
      <c r="AF8" s="26"/>
      <c r="AG8" s="26"/>
      <c r="AH8" s="26"/>
      <c r="AI8" s="86"/>
    </row>
    <row r="9" spans="1:39" s="21" customFormat="1" ht="12" customHeight="1" x14ac:dyDescent="0.2">
      <c r="A9" s="1" t="s">
        <v>282</v>
      </c>
      <c r="B9" s="1"/>
      <c r="C9" s="1" t="s">
        <v>283</v>
      </c>
      <c r="D9" s="1"/>
      <c r="E9" s="88">
        <v>25611.97</v>
      </c>
      <c r="F9" s="76"/>
      <c r="G9" s="88">
        <v>113403.1</v>
      </c>
      <c r="H9" s="88"/>
      <c r="I9" s="88">
        <v>82086.399999999994</v>
      </c>
      <c r="J9" s="88"/>
      <c r="K9" s="88">
        <v>0</v>
      </c>
      <c r="L9" s="88"/>
      <c r="M9" s="88">
        <v>131639.60999999999</v>
      </c>
      <c r="N9" s="88"/>
      <c r="O9" s="88">
        <v>72280.33</v>
      </c>
      <c r="P9" s="88"/>
      <c r="Q9" s="88">
        <v>448.37</v>
      </c>
      <c r="R9" s="88"/>
      <c r="S9" s="88">
        <v>15544.67</v>
      </c>
      <c r="T9" s="88"/>
      <c r="U9" s="88">
        <v>0</v>
      </c>
      <c r="V9" s="88"/>
      <c r="W9" s="88">
        <v>0</v>
      </c>
      <c r="X9" s="88"/>
      <c r="Y9" s="88">
        <v>0</v>
      </c>
      <c r="Z9" s="88"/>
      <c r="AA9" s="88">
        <v>0</v>
      </c>
      <c r="AB9" s="88"/>
      <c r="AC9" s="88">
        <v>0</v>
      </c>
      <c r="AD9" s="88"/>
      <c r="AE9" s="88">
        <v>0</v>
      </c>
      <c r="AF9" s="88"/>
      <c r="AG9" s="88">
        <v>20733.169999999998</v>
      </c>
      <c r="AH9" s="88"/>
      <c r="AI9" s="88">
        <f t="shared" ref="AI9:AI72" si="0">SUM(E9:AG9)</f>
        <v>461747.61999999994</v>
      </c>
      <c r="AJ9" s="36"/>
      <c r="AK9" s="22"/>
      <c r="AL9" s="22"/>
      <c r="AM9" s="22"/>
    </row>
    <row r="10" spans="1:39" s="36" customFormat="1" ht="12" customHeight="1" x14ac:dyDescent="0.2">
      <c r="A10" s="36" t="s">
        <v>395</v>
      </c>
      <c r="C10" s="36" t="s">
        <v>396</v>
      </c>
      <c r="E10" s="76">
        <v>1019173</v>
      </c>
      <c r="F10" s="76"/>
      <c r="G10" s="76">
        <v>0</v>
      </c>
      <c r="H10" s="76"/>
      <c r="I10" s="76">
        <f>114998+1423</f>
        <v>116421</v>
      </c>
      <c r="J10" s="76"/>
      <c r="K10" s="76">
        <v>71149</v>
      </c>
      <c r="L10" s="76"/>
      <c r="M10" s="76">
        <v>40996</v>
      </c>
      <c r="N10" s="76"/>
      <c r="O10" s="76">
        <v>48170</v>
      </c>
      <c r="P10" s="76"/>
      <c r="Q10" s="76">
        <v>15203</v>
      </c>
      <c r="R10" s="76"/>
      <c r="S10" s="76">
        <v>56080</v>
      </c>
      <c r="T10" s="76"/>
      <c r="U10" s="76">
        <v>0</v>
      </c>
      <c r="V10" s="76"/>
      <c r="W10" s="76">
        <v>0</v>
      </c>
      <c r="X10" s="76"/>
      <c r="Y10" s="76">
        <v>0</v>
      </c>
      <c r="Z10" s="76"/>
      <c r="AA10" s="76">
        <v>0</v>
      </c>
      <c r="AB10" s="76"/>
      <c r="AC10" s="76">
        <v>0</v>
      </c>
      <c r="AD10" s="76"/>
      <c r="AE10" s="76">
        <v>748034</v>
      </c>
      <c r="AF10" s="76"/>
      <c r="AG10" s="76">
        <v>0</v>
      </c>
      <c r="AH10" s="35"/>
      <c r="AI10" s="76">
        <f t="shared" si="0"/>
        <v>2115226</v>
      </c>
      <c r="AK10" s="22"/>
    </row>
    <row r="11" spans="1:39" s="31" customFormat="1" ht="12" customHeight="1" x14ac:dyDescent="0.2">
      <c r="A11" s="15" t="s">
        <v>483</v>
      </c>
      <c r="B11" s="15"/>
      <c r="C11" s="15" t="s">
        <v>484</v>
      </c>
      <c r="D11" s="15"/>
      <c r="E11" s="76">
        <v>2470</v>
      </c>
      <c r="F11" s="76"/>
      <c r="G11" s="76">
        <v>0</v>
      </c>
      <c r="H11" s="76"/>
      <c r="I11" s="76">
        <v>8570</v>
      </c>
      <c r="J11" s="76"/>
      <c r="K11" s="76">
        <v>0</v>
      </c>
      <c r="L11" s="76"/>
      <c r="M11" s="76">
        <v>0</v>
      </c>
      <c r="N11" s="76"/>
      <c r="O11" s="76">
        <v>0</v>
      </c>
      <c r="P11" s="76"/>
      <c r="Q11" s="76">
        <v>6</v>
      </c>
      <c r="R11" s="76"/>
      <c r="S11" s="76">
        <v>6500</v>
      </c>
      <c r="T11" s="76"/>
      <c r="U11" s="76">
        <v>0</v>
      </c>
      <c r="V11" s="76"/>
      <c r="W11" s="76">
        <v>0</v>
      </c>
      <c r="X11" s="76"/>
      <c r="Y11" s="76">
        <v>0</v>
      </c>
      <c r="Z11" s="76"/>
      <c r="AA11" s="76">
        <v>0</v>
      </c>
      <c r="AB11" s="76"/>
      <c r="AC11" s="76">
        <v>0</v>
      </c>
      <c r="AD11" s="76"/>
      <c r="AE11" s="76">
        <v>0</v>
      </c>
      <c r="AF11" s="76"/>
      <c r="AG11" s="76">
        <v>0</v>
      </c>
      <c r="AH11" s="38"/>
      <c r="AI11" s="76">
        <f t="shared" si="0"/>
        <v>17546</v>
      </c>
      <c r="AJ11" s="24"/>
      <c r="AK11" s="22"/>
    </row>
    <row r="12" spans="1:39" s="21" customFormat="1" ht="12" customHeight="1" x14ac:dyDescent="0.2">
      <c r="A12" s="1" t="s">
        <v>91</v>
      </c>
      <c r="B12" s="1"/>
      <c r="C12" s="1" t="s">
        <v>763</v>
      </c>
      <c r="D12" s="1"/>
      <c r="E12" s="76">
        <v>132336.41</v>
      </c>
      <c r="F12" s="76"/>
      <c r="G12" s="76">
        <v>252276.72</v>
      </c>
      <c r="H12" s="76"/>
      <c r="I12" s="76">
        <v>15450.46</v>
      </c>
      <c r="J12" s="76"/>
      <c r="K12" s="76">
        <v>0</v>
      </c>
      <c r="L12" s="76"/>
      <c r="M12" s="76">
        <v>142583.4</v>
      </c>
      <c r="N12" s="76"/>
      <c r="O12" s="76">
        <v>124967</v>
      </c>
      <c r="P12" s="76"/>
      <c r="Q12" s="76">
        <v>0</v>
      </c>
      <c r="R12" s="76"/>
      <c r="S12" s="76">
        <v>0</v>
      </c>
      <c r="T12" s="76"/>
      <c r="U12" s="76">
        <v>0</v>
      </c>
      <c r="V12" s="76"/>
      <c r="W12" s="76">
        <v>0</v>
      </c>
      <c r="X12" s="76"/>
      <c r="Y12" s="76">
        <v>0</v>
      </c>
      <c r="Z12" s="76"/>
      <c r="AA12" s="76">
        <v>0</v>
      </c>
      <c r="AB12" s="76"/>
      <c r="AC12" s="76">
        <v>12000</v>
      </c>
      <c r="AD12" s="76"/>
      <c r="AE12" s="76">
        <v>0</v>
      </c>
      <c r="AF12" s="76"/>
      <c r="AG12" s="76">
        <v>0</v>
      </c>
      <c r="AH12"/>
      <c r="AI12" s="76">
        <f t="shared" si="0"/>
        <v>679613.99</v>
      </c>
      <c r="AJ12" s="10"/>
    </row>
    <row r="13" spans="1:39" s="21" customFormat="1" ht="12" customHeight="1" x14ac:dyDescent="0.2">
      <c r="A13" s="1" t="s">
        <v>210</v>
      </c>
      <c r="B13" s="1"/>
      <c r="C13" s="1" t="s">
        <v>799</v>
      </c>
      <c r="D13" s="1"/>
      <c r="E13" s="76">
        <v>27728.63</v>
      </c>
      <c r="F13" s="76"/>
      <c r="G13" s="76">
        <v>0</v>
      </c>
      <c r="H13" s="76"/>
      <c r="I13" s="76">
        <v>22365.1</v>
      </c>
      <c r="J13" s="76"/>
      <c r="K13" s="76">
        <v>0</v>
      </c>
      <c r="L13" s="76"/>
      <c r="M13" s="76">
        <v>0</v>
      </c>
      <c r="N13" s="76"/>
      <c r="O13" s="76">
        <v>3877.16</v>
      </c>
      <c r="P13" s="76"/>
      <c r="Q13" s="76">
        <v>121.37</v>
      </c>
      <c r="R13" s="76"/>
      <c r="S13" s="76">
        <v>11862.38</v>
      </c>
      <c r="T13" s="76"/>
      <c r="U13" s="76">
        <v>0</v>
      </c>
      <c r="V13" s="76"/>
      <c r="W13" s="76">
        <v>0</v>
      </c>
      <c r="X13" s="76"/>
      <c r="Y13" s="76">
        <v>0</v>
      </c>
      <c r="Z13" s="76"/>
      <c r="AA13" s="76">
        <v>0</v>
      </c>
      <c r="AB13" s="76"/>
      <c r="AC13" s="76">
        <v>0</v>
      </c>
      <c r="AD13" s="76"/>
      <c r="AE13" s="76">
        <v>0</v>
      </c>
      <c r="AF13" s="76"/>
      <c r="AG13" s="76">
        <v>0</v>
      </c>
      <c r="AH13"/>
      <c r="AI13" s="76">
        <f t="shared" si="0"/>
        <v>65954.64</v>
      </c>
      <c r="AJ13" s="10"/>
      <c r="AK13" s="1"/>
      <c r="AL13" s="1"/>
      <c r="AM13" s="1"/>
    </row>
    <row r="14" spans="1:39" ht="12" customHeight="1" x14ac:dyDescent="0.2">
      <c r="A14" s="1" t="s">
        <v>876</v>
      </c>
      <c r="C14" s="1" t="s">
        <v>420</v>
      </c>
      <c r="E14" s="76">
        <v>24266</v>
      </c>
      <c r="F14" s="76"/>
      <c r="G14" s="76">
        <v>0</v>
      </c>
      <c r="H14" s="76"/>
      <c r="I14" s="76">
        <v>30163</v>
      </c>
      <c r="J14" s="76"/>
      <c r="K14" s="76">
        <v>0</v>
      </c>
      <c r="L14" s="76"/>
      <c r="M14" s="76">
        <v>0</v>
      </c>
      <c r="N14" s="76"/>
      <c r="O14" s="76">
        <v>17045</v>
      </c>
      <c r="P14" s="76"/>
      <c r="Q14" s="76">
        <v>0</v>
      </c>
      <c r="R14" s="76"/>
      <c r="S14" s="76">
        <v>10376</v>
      </c>
      <c r="T14" s="76"/>
      <c r="U14" s="76">
        <v>0</v>
      </c>
      <c r="V14" s="76"/>
      <c r="W14" s="76">
        <v>0</v>
      </c>
      <c r="X14" s="76"/>
      <c r="Y14" s="76">
        <v>0</v>
      </c>
      <c r="Z14" s="76"/>
      <c r="AA14" s="76">
        <v>0</v>
      </c>
      <c r="AB14" s="76"/>
      <c r="AC14" s="76">
        <v>0</v>
      </c>
      <c r="AD14" s="76"/>
      <c r="AE14" s="76">
        <v>0</v>
      </c>
      <c r="AF14" s="76"/>
      <c r="AG14" s="76">
        <v>0</v>
      </c>
      <c r="AH14" s="35"/>
      <c r="AI14" s="76">
        <f t="shared" si="0"/>
        <v>81850</v>
      </c>
      <c r="AJ14" s="10"/>
      <c r="AK14" s="21"/>
      <c r="AL14" s="21"/>
      <c r="AM14" s="21"/>
    </row>
    <row r="15" spans="1:39" ht="12" customHeight="1" x14ac:dyDescent="0.2">
      <c r="A15" s="1" t="s">
        <v>270</v>
      </c>
      <c r="C15" s="1" t="s">
        <v>271</v>
      </c>
      <c r="E15" s="76">
        <v>28572.84</v>
      </c>
      <c r="F15" s="76"/>
      <c r="G15" s="76">
        <v>0</v>
      </c>
      <c r="H15" s="76"/>
      <c r="I15" s="76">
        <v>12261.24</v>
      </c>
      <c r="J15" s="76"/>
      <c r="K15" s="76">
        <v>0</v>
      </c>
      <c r="L15" s="76"/>
      <c r="M15" s="76">
        <v>0</v>
      </c>
      <c r="N15" s="76"/>
      <c r="O15" s="76">
        <v>15971.04</v>
      </c>
      <c r="P15" s="76"/>
      <c r="Q15" s="76">
        <v>1173.23</v>
      </c>
      <c r="R15" s="76"/>
      <c r="S15" s="76">
        <v>7379.88</v>
      </c>
      <c r="T15" s="76"/>
      <c r="U15" s="76">
        <v>0</v>
      </c>
      <c r="V15" s="76"/>
      <c r="W15" s="76">
        <v>0</v>
      </c>
      <c r="X15" s="76"/>
      <c r="Y15" s="76">
        <v>0</v>
      </c>
      <c r="Z15" s="76"/>
      <c r="AA15" s="76">
        <v>0</v>
      </c>
      <c r="AB15" s="76"/>
      <c r="AC15" s="76">
        <v>5000</v>
      </c>
      <c r="AD15" s="76"/>
      <c r="AE15" s="76">
        <v>0</v>
      </c>
      <c r="AF15" s="76"/>
      <c r="AG15" s="76">
        <v>0</v>
      </c>
      <c r="AH15"/>
      <c r="AI15" s="76">
        <f t="shared" si="0"/>
        <v>70358.23000000001</v>
      </c>
      <c r="AJ15" s="10"/>
      <c r="AK15" s="22"/>
      <c r="AL15" s="22"/>
      <c r="AM15" s="22"/>
    </row>
    <row r="16" spans="1:39" s="21" customFormat="1" ht="12" customHeight="1" x14ac:dyDescent="0.2">
      <c r="A16" s="1" t="s">
        <v>129</v>
      </c>
      <c r="B16" s="1"/>
      <c r="C16" s="1" t="s">
        <v>774</v>
      </c>
      <c r="D16" s="1"/>
      <c r="E16" s="76">
        <v>42710.75</v>
      </c>
      <c r="F16" s="76"/>
      <c r="G16" s="76">
        <v>0</v>
      </c>
      <c r="H16" s="76"/>
      <c r="I16" s="76">
        <v>20731.38</v>
      </c>
      <c r="J16" s="76"/>
      <c r="K16" s="76">
        <v>0</v>
      </c>
      <c r="L16" s="76"/>
      <c r="M16" s="76">
        <v>46.35</v>
      </c>
      <c r="N16" s="76"/>
      <c r="O16" s="76">
        <v>2329.15</v>
      </c>
      <c r="P16" s="76"/>
      <c r="Q16" s="76">
        <v>125.69</v>
      </c>
      <c r="R16" s="76"/>
      <c r="S16" s="76">
        <v>1862.16</v>
      </c>
      <c r="T16" s="76"/>
      <c r="U16" s="76">
        <v>0</v>
      </c>
      <c r="V16" s="76"/>
      <c r="W16" s="76">
        <v>0</v>
      </c>
      <c r="X16" s="76"/>
      <c r="Y16" s="76">
        <v>0</v>
      </c>
      <c r="Z16" s="76"/>
      <c r="AA16" s="76">
        <v>12500</v>
      </c>
      <c r="AB16" s="76"/>
      <c r="AC16" s="76">
        <v>0</v>
      </c>
      <c r="AD16" s="76"/>
      <c r="AE16" s="76">
        <v>0</v>
      </c>
      <c r="AF16" s="76"/>
      <c r="AG16" s="76">
        <v>0</v>
      </c>
      <c r="AH16"/>
      <c r="AI16" s="76">
        <f t="shared" si="0"/>
        <v>80305.48000000001</v>
      </c>
      <c r="AJ16" s="10"/>
      <c r="AK16" s="1"/>
      <c r="AL16" s="1"/>
      <c r="AM16" s="1"/>
    </row>
    <row r="17" spans="1:39" ht="12" customHeight="1" x14ac:dyDescent="0.2">
      <c r="A17" s="1" t="s">
        <v>704</v>
      </c>
      <c r="C17" s="1" t="s">
        <v>396</v>
      </c>
      <c r="E17" s="76">
        <v>15009.85</v>
      </c>
      <c r="F17" s="76"/>
      <c r="G17" s="76">
        <v>56805.1</v>
      </c>
      <c r="H17" s="76"/>
      <c r="I17" s="76">
        <v>17233.689999999999</v>
      </c>
      <c r="J17" s="76"/>
      <c r="K17" s="76">
        <v>0</v>
      </c>
      <c r="L17" s="76"/>
      <c r="M17" s="76">
        <v>0</v>
      </c>
      <c r="N17" s="76"/>
      <c r="O17" s="76">
        <v>3655.44</v>
      </c>
      <c r="P17" s="76"/>
      <c r="Q17" s="76">
        <v>82.55</v>
      </c>
      <c r="R17" s="76"/>
      <c r="S17" s="76">
        <v>3894.59</v>
      </c>
      <c r="T17" s="76"/>
      <c r="U17" s="76">
        <v>0</v>
      </c>
      <c r="V17" s="76"/>
      <c r="W17" s="76">
        <v>0</v>
      </c>
      <c r="X17" s="76"/>
      <c r="Y17" s="76">
        <v>2000</v>
      </c>
      <c r="Z17" s="76"/>
      <c r="AA17" s="76">
        <v>0</v>
      </c>
      <c r="AB17" s="76"/>
      <c r="AC17" s="76">
        <v>0</v>
      </c>
      <c r="AD17" s="76"/>
      <c r="AE17" s="76">
        <v>0</v>
      </c>
      <c r="AF17" s="76"/>
      <c r="AG17" s="76">
        <v>0</v>
      </c>
      <c r="AH17"/>
      <c r="AI17" s="76">
        <f t="shared" si="0"/>
        <v>98681.22</v>
      </c>
      <c r="AJ17" s="10"/>
      <c r="AK17" s="21"/>
      <c r="AL17" s="21"/>
      <c r="AM17" s="21"/>
    </row>
    <row r="18" spans="1:39" ht="12" hidden="1" customHeight="1" x14ac:dyDescent="0.2">
      <c r="A18" s="1" t="s">
        <v>251</v>
      </c>
      <c r="C18" s="1" t="s">
        <v>596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/>
      <c r="AI18" s="76">
        <f t="shared" si="0"/>
        <v>0</v>
      </c>
      <c r="AJ18" s="10"/>
      <c r="AK18" s="21"/>
      <c r="AL18" s="21"/>
      <c r="AM18" s="21"/>
    </row>
    <row r="19" spans="1:39" s="21" customFormat="1" ht="12" customHeight="1" x14ac:dyDescent="0.2">
      <c r="A19" s="1" t="s">
        <v>665</v>
      </c>
      <c r="B19" s="1"/>
      <c r="C19" s="1" t="s">
        <v>350</v>
      </c>
      <c r="D19" s="1"/>
      <c r="E19" s="76">
        <v>30963.4</v>
      </c>
      <c r="F19" s="76"/>
      <c r="G19" s="76">
        <v>0</v>
      </c>
      <c r="H19" s="76"/>
      <c r="I19" s="76">
        <v>31514.2</v>
      </c>
      <c r="J19" s="76"/>
      <c r="K19" s="76">
        <v>0</v>
      </c>
      <c r="L19" s="76"/>
      <c r="M19" s="76">
        <v>65306.58</v>
      </c>
      <c r="N19" s="76"/>
      <c r="O19" s="76">
        <v>2845</v>
      </c>
      <c r="P19" s="76"/>
      <c r="Q19" s="76">
        <v>381.08</v>
      </c>
      <c r="R19" s="76"/>
      <c r="S19" s="76">
        <v>4179.62</v>
      </c>
      <c r="T19" s="76"/>
      <c r="U19" s="76">
        <v>0</v>
      </c>
      <c r="V19" s="76"/>
      <c r="W19" s="76">
        <v>0</v>
      </c>
      <c r="X19" s="76"/>
      <c r="Y19" s="76">
        <v>0</v>
      </c>
      <c r="Z19" s="76"/>
      <c r="AA19" s="76">
        <v>0</v>
      </c>
      <c r="AB19" s="76"/>
      <c r="AC19" s="76">
        <v>0</v>
      </c>
      <c r="AD19" s="76"/>
      <c r="AE19" s="76">
        <v>0</v>
      </c>
      <c r="AF19" s="76"/>
      <c r="AG19" s="76">
        <v>0</v>
      </c>
      <c r="AH19"/>
      <c r="AI19" s="76">
        <f t="shared" si="0"/>
        <v>135189.88</v>
      </c>
      <c r="AJ19" s="10"/>
      <c r="AK19" s="22"/>
      <c r="AL19" s="22"/>
      <c r="AM19" s="22"/>
    </row>
    <row r="20" spans="1:39" s="21" customFormat="1" ht="12" customHeight="1" x14ac:dyDescent="0.2">
      <c r="A20" s="1" t="s">
        <v>377</v>
      </c>
      <c r="B20" s="1"/>
      <c r="C20" s="1" t="s">
        <v>378</v>
      </c>
      <c r="D20" s="1"/>
      <c r="E20" s="76">
        <v>976400</v>
      </c>
      <c r="F20" s="76"/>
      <c r="G20" s="76">
        <v>2665947</v>
      </c>
      <c r="H20" s="76"/>
      <c r="I20" s="76">
        <v>5729041</v>
      </c>
      <c r="J20" s="76"/>
      <c r="K20" s="76">
        <v>0</v>
      </c>
      <c r="L20" s="76"/>
      <c r="M20" s="76">
        <v>294940</v>
      </c>
      <c r="N20" s="76"/>
      <c r="O20" s="76">
        <v>240752</v>
      </c>
      <c r="P20" s="76"/>
      <c r="Q20" s="76">
        <v>8738</v>
      </c>
      <c r="R20" s="76"/>
      <c r="S20" s="76">
        <v>16625</v>
      </c>
      <c r="T20" s="76"/>
      <c r="U20" s="76">
        <v>0</v>
      </c>
      <c r="V20" s="76"/>
      <c r="W20" s="76">
        <v>0</v>
      </c>
      <c r="X20" s="76"/>
      <c r="Y20" s="76">
        <v>0</v>
      </c>
      <c r="Z20" s="76"/>
      <c r="AA20" s="76">
        <v>0</v>
      </c>
      <c r="AB20" s="76"/>
      <c r="AC20" s="76">
        <v>0</v>
      </c>
      <c r="AD20" s="76"/>
      <c r="AE20" s="76">
        <v>0</v>
      </c>
      <c r="AF20" s="76"/>
      <c r="AG20" s="76">
        <v>0</v>
      </c>
      <c r="AH20" s="35"/>
      <c r="AI20" s="76">
        <f t="shared" si="0"/>
        <v>9932443</v>
      </c>
      <c r="AJ20" s="10"/>
    </row>
    <row r="21" spans="1:39" s="21" customFormat="1" ht="12" customHeight="1" x14ac:dyDescent="0.2">
      <c r="A21" s="1" t="s">
        <v>36</v>
      </c>
      <c r="B21" s="1"/>
      <c r="C21" s="1" t="s">
        <v>747</v>
      </c>
      <c r="D21" s="1"/>
      <c r="E21" s="76">
        <v>86165.71</v>
      </c>
      <c r="F21" s="76"/>
      <c r="G21" s="76">
        <v>0</v>
      </c>
      <c r="H21" s="76"/>
      <c r="I21" s="76">
        <v>114658.15</v>
      </c>
      <c r="J21" s="76"/>
      <c r="K21" s="76">
        <v>1145.25</v>
      </c>
      <c r="L21" s="76"/>
      <c r="M21" s="76">
        <v>6040.48</v>
      </c>
      <c r="N21" s="76"/>
      <c r="O21" s="76">
        <v>126217.14</v>
      </c>
      <c r="P21" s="76"/>
      <c r="Q21" s="76">
        <v>1405.84</v>
      </c>
      <c r="R21" s="76"/>
      <c r="S21" s="76">
        <v>31167.84</v>
      </c>
      <c r="T21" s="76"/>
      <c r="U21" s="76">
        <v>0</v>
      </c>
      <c r="V21" s="76"/>
      <c r="W21" s="76">
        <v>0</v>
      </c>
      <c r="X21" s="76"/>
      <c r="Y21" s="76">
        <v>0</v>
      </c>
      <c r="Z21" s="76"/>
      <c r="AA21" s="76">
        <v>0</v>
      </c>
      <c r="AB21" s="76"/>
      <c r="AC21" s="76">
        <v>37700</v>
      </c>
      <c r="AD21" s="76"/>
      <c r="AE21" s="76">
        <v>0</v>
      </c>
      <c r="AF21" s="76"/>
      <c r="AG21" s="76">
        <v>0</v>
      </c>
      <c r="AH21"/>
      <c r="AI21" s="76">
        <f t="shared" si="0"/>
        <v>404500.41000000003</v>
      </c>
      <c r="AJ21" s="10"/>
      <c r="AK21" s="22"/>
      <c r="AL21" s="22"/>
      <c r="AM21" s="22"/>
    </row>
    <row r="22" spans="1:39" s="21" customFormat="1" ht="12" customHeight="1" x14ac:dyDescent="0.2">
      <c r="A22" s="1" t="s">
        <v>9</v>
      </c>
      <c r="B22" s="1"/>
      <c r="C22" s="1" t="s">
        <v>739</v>
      </c>
      <c r="D22" s="1"/>
      <c r="E22" s="76">
        <v>25734.26</v>
      </c>
      <c r="F22" s="76"/>
      <c r="G22" s="76">
        <v>0</v>
      </c>
      <c r="H22" s="76"/>
      <c r="I22" s="76">
        <v>2328.2199999999998</v>
      </c>
      <c r="J22" s="76"/>
      <c r="K22" s="76">
        <v>0</v>
      </c>
      <c r="L22" s="76"/>
      <c r="M22" s="76">
        <v>0</v>
      </c>
      <c r="N22" s="76"/>
      <c r="O22" s="76">
        <v>4743.04</v>
      </c>
      <c r="P22" s="76"/>
      <c r="Q22" s="76">
        <v>84.58</v>
      </c>
      <c r="R22" s="76"/>
      <c r="S22" s="76">
        <v>25</v>
      </c>
      <c r="T22" s="76"/>
      <c r="U22" s="76">
        <v>0</v>
      </c>
      <c r="V22" s="76"/>
      <c r="W22" s="76">
        <v>0</v>
      </c>
      <c r="X22" s="76"/>
      <c r="Y22" s="76">
        <v>0</v>
      </c>
      <c r="Z22" s="76"/>
      <c r="AA22" s="76">
        <v>0</v>
      </c>
      <c r="AB22" s="76"/>
      <c r="AC22" s="76">
        <v>0</v>
      </c>
      <c r="AD22" s="76"/>
      <c r="AE22" s="76">
        <v>0</v>
      </c>
      <c r="AF22" s="76"/>
      <c r="AG22" s="76">
        <v>0</v>
      </c>
      <c r="AH22"/>
      <c r="AI22" s="76">
        <f t="shared" si="0"/>
        <v>32915.1</v>
      </c>
      <c r="AJ22" s="10"/>
      <c r="AK22" s="22"/>
      <c r="AL22" s="22"/>
      <c r="AM22" s="22"/>
    </row>
    <row r="23" spans="1:39" ht="12" customHeight="1" x14ac:dyDescent="0.2">
      <c r="A23" s="1" t="s">
        <v>421</v>
      </c>
      <c r="C23" s="1" t="s">
        <v>420</v>
      </c>
      <c r="E23" s="76">
        <v>17727</v>
      </c>
      <c r="F23" s="76"/>
      <c r="G23" s="76">
        <v>0</v>
      </c>
      <c r="H23" s="76"/>
      <c r="I23" s="76">
        <v>18938</v>
      </c>
      <c r="J23" s="76"/>
      <c r="K23" s="76">
        <v>0</v>
      </c>
      <c r="L23" s="76"/>
      <c r="M23" s="76">
        <v>0</v>
      </c>
      <c r="N23" s="76"/>
      <c r="O23" s="76">
        <v>1315</v>
      </c>
      <c r="P23" s="76"/>
      <c r="Q23" s="76">
        <v>108</v>
      </c>
      <c r="R23" s="76"/>
      <c r="S23" s="76">
        <v>3333</v>
      </c>
      <c r="T23" s="76"/>
      <c r="U23" s="76">
        <v>0</v>
      </c>
      <c r="V23" s="76"/>
      <c r="W23" s="76">
        <v>0</v>
      </c>
      <c r="X23" s="76"/>
      <c r="Y23" s="76">
        <v>0</v>
      </c>
      <c r="Z23" s="76"/>
      <c r="AA23" s="76">
        <v>0</v>
      </c>
      <c r="AB23" s="76"/>
      <c r="AC23" s="76">
        <v>0</v>
      </c>
      <c r="AD23" s="76"/>
      <c r="AE23" s="76">
        <v>0</v>
      </c>
      <c r="AF23" s="76"/>
      <c r="AG23" s="76">
        <v>0</v>
      </c>
      <c r="AH23" s="35"/>
      <c r="AI23" s="76">
        <f t="shared" si="0"/>
        <v>41421</v>
      </c>
      <c r="AJ23" s="10"/>
    </row>
    <row r="24" spans="1:39" ht="12" customHeight="1" x14ac:dyDescent="0.2">
      <c r="A24" s="1" t="s">
        <v>915</v>
      </c>
      <c r="C24" s="1" t="s">
        <v>671</v>
      </c>
      <c r="E24" s="76">
        <v>79686.179999999993</v>
      </c>
      <c r="F24" s="76"/>
      <c r="G24" s="76">
        <v>332338.34999999998</v>
      </c>
      <c r="H24" s="76"/>
      <c r="I24" s="76">
        <v>41186.730000000003</v>
      </c>
      <c r="J24" s="76"/>
      <c r="K24" s="76">
        <v>0</v>
      </c>
      <c r="L24" s="76"/>
      <c r="M24" s="76">
        <v>2609.66</v>
      </c>
      <c r="N24" s="76"/>
      <c r="O24" s="76">
        <v>17970.63</v>
      </c>
      <c r="P24" s="76"/>
      <c r="Q24" s="76">
        <v>653.9</v>
      </c>
      <c r="R24" s="76"/>
      <c r="S24" s="76">
        <v>785.6</v>
      </c>
      <c r="T24" s="76"/>
      <c r="U24" s="76">
        <v>0</v>
      </c>
      <c r="V24" s="76"/>
      <c r="W24" s="76">
        <v>0</v>
      </c>
      <c r="X24" s="76"/>
      <c r="Y24" s="76">
        <v>0</v>
      </c>
      <c r="Z24" s="76"/>
      <c r="AA24" s="76">
        <v>0</v>
      </c>
      <c r="AB24" s="76"/>
      <c r="AC24" s="76">
        <v>1181.29</v>
      </c>
      <c r="AD24" s="76"/>
      <c r="AE24" s="76">
        <v>0</v>
      </c>
      <c r="AF24" s="76"/>
      <c r="AG24" s="76">
        <v>0</v>
      </c>
      <c r="AH24"/>
      <c r="AI24" s="76">
        <f t="shared" si="0"/>
        <v>476412.33999999991</v>
      </c>
      <c r="AJ24" s="10"/>
    </row>
    <row r="25" spans="1:39" ht="12" customHeight="1" x14ac:dyDescent="0.2">
      <c r="A25" s="1" t="s">
        <v>221</v>
      </c>
      <c r="C25" s="1" t="s">
        <v>803</v>
      </c>
      <c r="E25" s="76">
        <v>41928.11</v>
      </c>
      <c r="F25" s="76"/>
      <c r="G25" s="76">
        <v>568728.21</v>
      </c>
      <c r="H25" s="76"/>
      <c r="I25" s="76">
        <v>49010.44</v>
      </c>
      <c r="J25" s="76"/>
      <c r="K25" s="76">
        <v>0</v>
      </c>
      <c r="L25" s="76"/>
      <c r="M25" s="76">
        <v>4151.91</v>
      </c>
      <c r="N25" s="76"/>
      <c r="O25" s="76">
        <v>32109.34</v>
      </c>
      <c r="P25" s="76"/>
      <c r="Q25" s="76">
        <v>10.78</v>
      </c>
      <c r="R25" s="76"/>
      <c r="S25" s="76">
        <v>13334.15</v>
      </c>
      <c r="T25" s="76"/>
      <c r="U25" s="76">
        <v>0</v>
      </c>
      <c r="V25" s="76"/>
      <c r="W25" s="76">
        <v>0</v>
      </c>
      <c r="X25" s="76"/>
      <c r="Y25" s="76">
        <v>0</v>
      </c>
      <c r="Z25" s="76"/>
      <c r="AA25" s="76">
        <v>0</v>
      </c>
      <c r="AB25" s="76"/>
      <c r="AC25" s="76">
        <v>0</v>
      </c>
      <c r="AD25" s="76"/>
      <c r="AE25" s="76">
        <v>0</v>
      </c>
      <c r="AF25" s="76"/>
      <c r="AG25" s="76">
        <f>12447+371.58</f>
        <v>12818.58</v>
      </c>
      <c r="AH25"/>
      <c r="AI25" s="76">
        <f t="shared" si="0"/>
        <v>722091.52000000002</v>
      </c>
      <c r="AJ25" s="10"/>
    </row>
    <row r="26" spans="1:39" ht="12" customHeight="1" x14ac:dyDescent="0.2">
      <c r="A26" s="1" t="s">
        <v>328</v>
      </c>
      <c r="C26" s="1" t="s">
        <v>329</v>
      </c>
      <c r="E26" s="76">
        <v>72983</v>
      </c>
      <c r="F26" s="76"/>
      <c r="G26" s="76">
        <v>120106</v>
      </c>
      <c r="H26" s="76"/>
      <c r="I26" s="76">
        <v>57674</v>
      </c>
      <c r="J26" s="76"/>
      <c r="K26" s="76">
        <v>29816</v>
      </c>
      <c r="L26" s="76"/>
      <c r="M26" s="76">
        <v>7868</v>
      </c>
      <c r="N26" s="76"/>
      <c r="O26" s="76">
        <v>400</v>
      </c>
      <c r="P26" s="76"/>
      <c r="Q26" s="76">
        <v>366</v>
      </c>
      <c r="R26" s="76"/>
      <c r="S26" s="76">
        <v>28415</v>
      </c>
      <c r="T26" s="76"/>
      <c r="U26" s="76">
        <v>0</v>
      </c>
      <c r="V26" s="76"/>
      <c r="W26" s="76">
        <v>0</v>
      </c>
      <c r="X26" s="76"/>
      <c r="Y26" s="76">
        <v>0</v>
      </c>
      <c r="Z26" s="76"/>
      <c r="AA26" s="76">
        <v>0</v>
      </c>
      <c r="AB26" s="76"/>
      <c r="AC26" s="76">
        <v>0</v>
      </c>
      <c r="AD26" s="76"/>
      <c r="AE26" s="76">
        <v>0</v>
      </c>
      <c r="AF26" s="76"/>
      <c r="AG26" s="76">
        <v>0</v>
      </c>
      <c r="AH26" s="35"/>
      <c r="AI26" s="76">
        <f t="shared" si="0"/>
        <v>317628</v>
      </c>
      <c r="AJ26" s="10"/>
      <c r="AK26" s="7"/>
      <c r="AL26" s="7"/>
      <c r="AM26" s="7"/>
    </row>
    <row r="27" spans="1:39" ht="12" customHeight="1" x14ac:dyDescent="0.2">
      <c r="A27" s="1" t="s">
        <v>473</v>
      </c>
      <c r="C27" s="1" t="s">
        <v>474</v>
      </c>
      <c r="E27" s="76">
        <v>3699</v>
      </c>
      <c r="F27" s="76"/>
      <c r="G27" s="76">
        <v>0</v>
      </c>
      <c r="H27" s="76"/>
      <c r="I27" s="76">
        <v>4820</v>
      </c>
      <c r="J27" s="76"/>
      <c r="K27" s="76">
        <v>0</v>
      </c>
      <c r="L27" s="76"/>
      <c r="M27" s="76">
        <v>0</v>
      </c>
      <c r="N27" s="76"/>
      <c r="O27" s="76">
        <v>0</v>
      </c>
      <c r="P27" s="76"/>
      <c r="Q27" s="76">
        <v>0</v>
      </c>
      <c r="R27" s="76"/>
      <c r="S27" s="76">
        <v>0</v>
      </c>
      <c r="T27" s="76"/>
      <c r="U27" s="76">
        <v>0</v>
      </c>
      <c r="V27" s="76"/>
      <c r="W27" s="76">
        <v>0</v>
      </c>
      <c r="X27" s="76"/>
      <c r="Y27" s="76">
        <v>0</v>
      </c>
      <c r="Z27" s="76"/>
      <c r="AA27" s="76">
        <v>0</v>
      </c>
      <c r="AB27" s="76"/>
      <c r="AC27" s="76">
        <v>0</v>
      </c>
      <c r="AD27" s="76"/>
      <c r="AE27" s="76">
        <v>0</v>
      </c>
      <c r="AF27" s="76"/>
      <c r="AG27" s="76">
        <v>0</v>
      </c>
      <c r="AH27" s="35"/>
      <c r="AI27" s="76">
        <f t="shared" si="0"/>
        <v>8519</v>
      </c>
      <c r="AJ27" s="10"/>
      <c r="AK27" s="21"/>
      <c r="AL27" s="21"/>
      <c r="AM27" s="21"/>
    </row>
    <row r="28" spans="1:39" s="21" customFormat="1" ht="12" customHeight="1" x14ac:dyDescent="0.2">
      <c r="A28" s="1" t="s">
        <v>495</v>
      </c>
      <c r="B28" s="1"/>
      <c r="C28" s="1" t="s">
        <v>496</v>
      </c>
      <c r="D28" s="1"/>
      <c r="E28" s="76">
        <v>43639</v>
      </c>
      <c r="F28" s="76"/>
      <c r="G28" s="76">
        <v>257378</v>
      </c>
      <c r="H28" s="76"/>
      <c r="I28" s="76">
        <v>43260</v>
      </c>
      <c r="J28" s="76"/>
      <c r="K28" s="76">
        <v>0</v>
      </c>
      <c r="L28" s="76"/>
      <c r="M28" s="76">
        <v>0</v>
      </c>
      <c r="N28" s="76"/>
      <c r="O28" s="76">
        <v>26185</v>
      </c>
      <c r="P28" s="76"/>
      <c r="Q28" s="76">
        <v>3101</v>
      </c>
      <c r="R28" s="76"/>
      <c r="S28" s="76">
        <v>27069</v>
      </c>
      <c r="T28" s="76"/>
      <c r="U28" s="76">
        <v>0</v>
      </c>
      <c r="V28" s="76"/>
      <c r="W28" s="76">
        <v>0</v>
      </c>
      <c r="X28" s="76"/>
      <c r="Y28" s="76">
        <v>0</v>
      </c>
      <c r="Z28" s="76"/>
      <c r="AA28" s="76">
        <v>0</v>
      </c>
      <c r="AB28" s="76"/>
      <c r="AC28" s="76">
        <v>0</v>
      </c>
      <c r="AD28" s="76"/>
      <c r="AE28" s="76">
        <v>0</v>
      </c>
      <c r="AF28" s="76"/>
      <c r="AG28" s="76">
        <v>0</v>
      </c>
      <c r="AH28" s="35"/>
      <c r="AI28" s="76">
        <f t="shared" si="0"/>
        <v>400632</v>
      </c>
      <c r="AJ28" s="10"/>
      <c r="AK28" s="1"/>
      <c r="AL28" s="1"/>
      <c r="AM28" s="1"/>
    </row>
    <row r="29" spans="1:39" s="21" customFormat="1" ht="12" customHeight="1" x14ac:dyDescent="0.2">
      <c r="A29" s="1" t="s">
        <v>587</v>
      </c>
      <c r="B29" s="1"/>
      <c r="C29" s="1" t="s">
        <v>588</v>
      </c>
      <c r="D29" s="1"/>
      <c r="E29" s="76">
        <v>42807</v>
      </c>
      <c r="F29" s="76"/>
      <c r="G29" s="76">
        <v>203204</v>
      </c>
      <c r="H29" s="76"/>
      <c r="I29" s="76">
        <v>12856</v>
      </c>
      <c r="J29" s="76"/>
      <c r="K29" s="76">
        <v>0</v>
      </c>
      <c r="L29" s="76"/>
      <c r="M29" s="76">
        <v>0</v>
      </c>
      <c r="N29" s="76"/>
      <c r="O29" s="76">
        <v>5990</v>
      </c>
      <c r="P29" s="76"/>
      <c r="Q29" s="76">
        <v>7464</v>
      </c>
      <c r="R29" s="76"/>
      <c r="S29" s="76">
        <v>2951</v>
      </c>
      <c r="T29" s="76"/>
      <c r="U29" s="76">
        <v>0</v>
      </c>
      <c r="V29" s="76"/>
      <c r="W29" s="76">
        <v>0</v>
      </c>
      <c r="X29" s="76"/>
      <c r="Y29" s="76">
        <v>0</v>
      </c>
      <c r="Z29" s="76"/>
      <c r="AA29" s="76">
        <v>0</v>
      </c>
      <c r="AB29" s="76"/>
      <c r="AC29" s="76">
        <v>30000</v>
      </c>
      <c r="AD29" s="76"/>
      <c r="AE29" s="76">
        <v>0</v>
      </c>
      <c r="AF29" s="76"/>
      <c r="AG29" s="76">
        <v>0</v>
      </c>
      <c r="AH29" s="35"/>
      <c r="AI29" s="76">
        <f t="shared" si="0"/>
        <v>305272</v>
      </c>
      <c r="AJ29" s="10"/>
    </row>
    <row r="30" spans="1:39" s="21" customFormat="1" ht="12" customHeight="1" x14ac:dyDescent="0.2">
      <c r="A30" s="1" t="s">
        <v>705</v>
      </c>
      <c r="B30" s="1"/>
      <c r="C30" s="1" t="s">
        <v>368</v>
      </c>
      <c r="D30" s="1"/>
      <c r="E30" s="76">
        <v>5909.33</v>
      </c>
      <c r="F30" s="76"/>
      <c r="G30" s="76">
        <v>0</v>
      </c>
      <c r="H30" s="76"/>
      <c r="I30" s="76">
        <v>18422.740000000002</v>
      </c>
      <c r="J30" s="76"/>
      <c r="K30" s="76">
        <v>0</v>
      </c>
      <c r="L30" s="76"/>
      <c r="M30" s="76">
        <v>1150</v>
      </c>
      <c r="N30" s="76"/>
      <c r="O30" s="76">
        <v>1835.18</v>
      </c>
      <c r="P30" s="76"/>
      <c r="Q30" s="76">
        <v>0</v>
      </c>
      <c r="R30" s="76"/>
      <c r="S30" s="76">
        <v>665</v>
      </c>
      <c r="T30" s="76"/>
      <c r="U30" s="76">
        <v>0</v>
      </c>
      <c r="V30" s="76"/>
      <c r="W30" s="76">
        <v>0</v>
      </c>
      <c r="X30" s="76"/>
      <c r="Y30" s="76">
        <v>0</v>
      </c>
      <c r="Z30" s="76"/>
      <c r="AA30" s="76">
        <v>0</v>
      </c>
      <c r="AB30" s="76"/>
      <c r="AC30" s="76">
        <v>0</v>
      </c>
      <c r="AD30" s="76"/>
      <c r="AE30" s="76">
        <v>0</v>
      </c>
      <c r="AF30" s="76"/>
      <c r="AG30" s="76">
        <v>0</v>
      </c>
      <c r="AH30" s="81"/>
      <c r="AI30" s="76">
        <f t="shared" si="0"/>
        <v>27982.25</v>
      </c>
      <c r="AJ30" s="10"/>
    </row>
    <row r="31" spans="1:39" s="21" customFormat="1" ht="12" customHeight="1" x14ac:dyDescent="0.2">
      <c r="A31" s="1" t="s">
        <v>387</v>
      </c>
      <c r="B31" s="1"/>
      <c r="C31" s="1" t="s">
        <v>388</v>
      </c>
      <c r="D31" s="1"/>
      <c r="E31" s="76">
        <v>38786.42</v>
      </c>
      <c r="F31" s="76"/>
      <c r="G31" s="76">
        <v>0</v>
      </c>
      <c r="H31" s="76"/>
      <c r="I31" s="76">
        <v>32790.54</v>
      </c>
      <c r="J31" s="76"/>
      <c r="K31" s="76">
        <v>0</v>
      </c>
      <c r="L31" s="76"/>
      <c r="M31" s="76">
        <v>0</v>
      </c>
      <c r="N31" s="76"/>
      <c r="O31" s="76">
        <v>465</v>
      </c>
      <c r="P31" s="76"/>
      <c r="Q31" s="76">
        <v>1866.43</v>
      </c>
      <c r="R31" s="76"/>
      <c r="S31" s="76">
        <v>3899.16</v>
      </c>
      <c r="T31" s="76"/>
      <c r="U31" s="76">
        <v>0</v>
      </c>
      <c r="V31" s="76"/>
      <c r="W31" s="76">
        <v>0</v>
      </c>
      <c r="X31" s="76"/>
      <c r="Y31" s="76">
        <v>0</v>
      </c>
      <c r="Z31" s="76"/>
      <c r="AA31" s="76">
        <v>0</v>
      </c>
      <c r="AB31" s="76"/>
      <c r="AC31" s="76">
        <v>0</v>
      </c>
      <c r="AD31" s="76"/>
      <c r="AE31" s="76">
        <v>0</v>
      </c>
      <c r="AF31" s="76"/>
      <c r="AG31" s="76">
        <v>0</v>
      </c>
      <c r="AH31"/>
      <c r="AI31" s="76">
        <f t="shared" si="0"/>
        <v>77807.549999999988</v>
      </c>
      <c r="AJ31" s="10"/>
    </row>
    <row r="32" spans="1:39" ht="12" customHeight="1" x14ac:dyDescent="0.2">
      <c r="A32" s="1" t="s">
        <v>330</v>
      </c>
      <c r="C32" s="1" t="s">
        <v>329</v>
      </c>
      <c r="E32" s="76">
        <v>56730</v>
      </c>
      <c r="F32" s="76"/>
      <c r="G32" s="76">
        <v>486631</v>
      </c>
      <c r="H32" s="76"/>
      <c r="I32" s="76">
        <v>129953</v>
      </c>
      <c r="J32" s="76"/>
      <c r="K32" s="76">
        <v>0</v>
      </c>
      <c r="L32" s="76"/>
      <c r="M32" s="76">
        <v>1090</v>
      </c>
      <c r="N32" s="76"/>
      <c r="O32" s="76">
        <v>885</v>
      </c>
      <c r="P32" s="76"/>
      <c r="Q32" s="76">
        <v>16765</v>
      </c>
      <c r="R32" s="76"/>
      <c r="S32" s="76">
        <v>31161</v>
      </c>
      <c r="T32" s="76"/>
      <c r="U32" s="76">
        <v>0</v>
      </c>
      <c r="V32" s="76"/>
      <c r="W32" s="76">
        <v>0</v>
      </c>
      <c r="X32" s="76"/>
      <c r="Y32" s="76">
        <v>9000</v>
      </c>
      <c r="Z32" s="76"/>
      <c r="AA32" s="76">
        <v>75092</v>
      </c>
      <c r="AB32" s="76"/>
      <c r="AC32" s="76">
        <v>0</v>
      </c>
      <c r="AD32" s="76"/>
      <c r="AE32" s="76">
        <v>0</v>
      </c>
      <c r="AF32" s="76"/>
      <c r="AG32" s="76">
        <v>0</v>
      </c>
      <c r="AH32" s="35"/>
      <c r="AI32" s="76">
        <f t="shared" si="0"/>
        <v>807307</v>
      </c>
      <c r="AJ32" s="10"/>
      <c r="AK32" s="22"/>
      <c r="AL32" s="22"/>
      <c r="AM32" s="22"/>
    </row>
    <row r="33" spans="1:39" s="21" customFormat="1" ht="12" customHeight="1" x14ac:dyDescent="0.2">
      <c r="A33" s="1" t="s">
        <v>357</v>
      </c>
      <c r="B33" s="1"/>
      <c r="C33" s="1" t="s">
        <v>358</v>
      </c>
      <c r="D33" s="1"/>
      <c r="E33" s="76">
        <v>572501</v>
      </c>
      <c r="F33" s="76"/>
      <c r="G33" s="76">
        <v>3073269</v>
      </c>
      <c r="H33" s="76"/>
      <c r="I33" s="76">
        <v>395248</v>
      </c>
      <c r="J33" s="76"/>
      <c r="K33" s="76">
        <v>0</v>
      </c>
      <c r="L33" s="76"/>
      <c r="M33" s="76">
        <v>574323</v>
      </c>
      <c r="N33" s="76"/>
      <c r="O33" s="76">
        <v>12180</v>
      </c>
      <c r="P33" s="76"/>
      <c r="Q33" s="76">
        <v>5399</v>
      </c>
      <c r="R33" s="76"/>
      <c r="S33" s="76">
        <v>47529</v>
      </c>
      <c r="T33" s="76"/>
      <c r="U33" s="76">
        <v>0</v>
      </c>
      <c r="V33" s="76"/>
      <c r="W33" s="76">
        <v>0</v>
      </c>
      <c r="X33" s="76"/>
      <c r="Y33" s="76">
        <v>0</v>
      </c>
      <c r="Z33" s="76"/>
      <c r="AA33" s="76">
        <v>7845</v>
      </c>
      <c r="AB33" s="76"/>
      <c r="AC33" s="76">
        <v>750</v>
      </c>
      <c r="AD33" s="76"/>
      <c r="AE33" s="76">
        <v>312213</v>
      </c>
      <c r="AF33" s="76"/>
      <c r="AG33" s="76">
        <v>0</v>
      </c>
      <c r="AH33" s="35"/>
      <c r="AI33" s="76">
        <f t="shared" si="0"/>
        <v>5001257</v>
      </c>
      <c r="AJ33" s="10"/>
    </row>
    <row r="34" spans="1:39" s="21" customFormat="1" ht="12" customHeight="1" x14ac:dyDescent="0.2">
      <c r="A34" s="15" t="s">
        <v>98</v>
      </c>
      <c r="B34" s="15"/>
      <c r="C34" s="15" t="s">
        <v>388</v>
      </c>
      <c r="D34" s="1"/>
      <c r="E34" s="76">
        <v>51507</v>
      </c>
      <c r="F34" s="76"/>
      <c r="G34" s="76">
        <v>175299.94</v>
      </c>
      <c r="H34" s="76"/>
      <c r="I34" s="76">
        <v>38590.699999999997</v>
      </c>
      <c r="J34" s="76"/>
      <c r="K34" s="76">
        <v>0</v>
      </c>
      <c r="L34" s="76"/>
      <c r="M34" s="76">
        <v>0</v>
      </c>
      <c r="N34" s="76"/>
      <c r="O34" s="76">
        <v>1889.25</v>
      </c>
      <c r="P34" s="76"/>
      <c r="Q34" s="76">
        <v>14256.21</v>
      </c>
      <c r="R34" s="76"/>
      <c r="S34" s="76">
        <v>0</v>
      </c>
      <c r="T34" s="76"/>
      <c r="U34" s="76">
        <v>0</v>
      </c>
      <c r="V34" s="76"/>
      <c r="W34" s="76">
        <v>0</v>
      </c>
      <c r="X34" s="76"/>
      <c r="Y34" s="76">
        <v>0</v>
      </c>
      <c r="Z34" s="76"/>
      <c r="AA34" s="76">
        <v>0</v>
      </c>
      <c r="AB34" s="76"/>
      <c r="AC34" s="76">
        <v>23500</v>
      </c>
      <c r="AD34" s="76"/>
      <c r="AE34" s="76">
        <v>1720.32</v>
      </c>
      <c r="AF34" s="76"/>
      <c r="AG34" s="76">
        <v>0</v>
      </c>
      <c r="AH34"/>
      <c r="AI34" s="76">
        <f t="shared" si="0"/>
        <v>306763.42000000004</v>
      </c>
      <c r="AJ34" s="10"/>
    </row>
    <row r="35" spans="1:39" s="15" customFormat="1" ht="12" customHeight="1" x14ac:dyDescent="0.2">
      <c r="A35" s="1" t="s">
        <v>379</v>
      </c>
      <c r="B35" s="1"/>
      <c r="C35" s="1" t="s">
        <v>378</v>
      </c>
      <c r="D35" s="1"/>
      <c r="E35" s="76">
        <v>464085</v>
      </c>
      <c r="F35" s="76"/>
      <c r="G35" s="76">
        <v>0</v>
      </c>
      <c r="H35" s="76"/>
      <c r="I35" s="76">
        <v>24201</v>
      </c>
      <c r="J35" s="76"/>
      <c r="K35" s="76">
        <v>0</v>
      </c>
      <c r="L35" s="76"/>
      <c r="M35" s="76">
        <v>12441</v>
      </c>
      <c r="N35" s="76"/>
      <c r="O35" s="76">
        <v>385493</v>
      </c>
      <c r="P35" s="76"/>
      <c r="Q35" s="76">
        <v>0</v>
      </c>
      <c r="R35" s="76"/>
      <c r="S35" s="76">
        <v>14200</v>
      </c>
      <c r="T35" s="76"/>
      <c r="U35" s="76">
        <v>0</v>
      </c>
      <c r="V35" s="76"/>
      <c r="W35" s="76">
        <v>0</v>
      </c>
      <c r="X35" s="76"/>
      <c r="Y35" s="76">
        <v>6170</v>
      </c>
      <c r="Z35" s="76"/>
      <c r="AA35" s="76">
        <v>0</v>
      </c>
      <c r="AB35" s="76"/>
      <c r="AC35" s="76">
        <v>0</v>
      </c>
      <c r="AD35" s="76"/>
      <c r="AE35" s="76">
        <v>0</v>
      </c>
      <c r="AF35" s="76"/>
      <c r="AG35" s="76">
        <v>0</v>
      </c>
      <c r="AH35" s="35"/>
      <c r="AI35" s="76">
        <f t="shared" si="0"/>
        <v>906590</v>
      </c>
      <c r="AJ35" s="10"/>
      <c r="AK35" s="21"/>
      <c r="AL35" s="21"/>
      <c r="AM35" s="21"/>
    </row>
    <row r="36" spans="1:39" s="21" customFormat="1" ht="12" customHeight="1" x14ac:dyDescent="0.2">
      <c r="A36" s="1" t="s">
        <v>914</v>
      </c>
      <c r="B36" s="1"/>
      <c r="C36" s="1" t="s">
        <v>343</v>
      </c>
      <c r="D36" s="1"/>
      <c r="E36" s="76">
        <v>121468.25</v>
      </c>
      <c r="F36" s="76"/>
      <c r="G36" s="76">
        <v>0</v>
      </c>
      <c r="H36" s="76"/>
      <c r="I36" s="76">
        <v>25580.78</v>
      </c>
      <c r="J36" s="76"/>
      <c r="K36" s="76">
        <v>0</v>
      </c>
      <c r="L36" s="76"/>
      <c r="M36" s="76">
        <v>73997.91</v>
      </c>
      <c r="N36" s="76"/>
      <c r="O36" s="76">
        <v>9702.65</v>
      </c>
      <c r="P36" s="76"/>
      <c r="Q36" s="76">
        <v>277.39</v>
      </c>
      <c r="R36" s="76"/>
      <c r="S36" s="76">
        <v>1345.19</v>
      </c>
      <c r="T36" s="76"/>
      <c r="U36" s="76">
        <v>0</v>
      </c>
      <c r="V36" s="76"/>
      <c r="W36" s="76">
        <v>0</v>
      </c>
      <c r="X36" s="76"/>
      <c r="Y36" s="76">
        <v>0</v>
      </c>
      <c r="Z36" s="76"/>
      <c r="AA36" s="76">
        <v>0</v>
      </c>
      <c r="AB36" s="76"/>
      <c r="AC36" s="76">
        <v>0</v>
      </c>
      <c r="AD36" s="76"/>
      <c r="AE36" s="76">
        <v>0</v>
      </c>
      <c r="AF36" s="76"/>
      <c r="AG36" s="76">
        <v>0</v>
      </c>
      <c r="AH36"/>
      <c r="AI36" s="76">
        <f t="shared" si="0"/>
        <v>232372.17</v>
      </c>
      <c r="AJ36" s="10"/>
    </row>
    <row r="37" spans="1:39" s="21" customFormat="1" ht="12" customHeight="1" x14ac:dyDescent="0.2">
      <c r="A37" s="1" t="s">
        <v>836</v>
      </c>
      <c r="B37" s="1"/>
      <c r="C37" s="1" t="s">
        <v>793</v>
      </c>
      <c r="D37" s="1"/>
      <c r="E37" s="76">
        <v>134190.26</v>
      </c>
      <c r="F37" s="76"/>
      <c r="G37" s="76">
        <v>941247.68</v>
      </c>
      <c r="H37" s="76"/>
      <c r="I37" s="76">
        <v>109434.69</v>
      </c>
      <c r="J37" s="76"/>
      <c r="K37" s="76">
        <v>0</v>
      </c>
      <c r="L37" s="76"/>
      <c r="M37" s="76">
        <v>334301.21000000002</v>
      </c>
      <c r="N37" s="76"/>
      <c r="O37" s="76">
        <v>60450.67</v>
      </c>
      <c r="P37" s="76"/>
      <c r="Q37" s="76">
        <v>5869.62</v>
      </c>
      <c r="R37" s="76"/>
      <c r="S37" s="76">
        <v>11382.45</v>
      </c>
      <c r="T37" s="76"/>
      <c r="U37" s="76">
        <v>0</v>
      </c>
      <c r="V37" s="76"/>
      <c r="W37" s="76">
        <v>0</v>
      </c>
      <c r="X37" s="76"/>
      <c r="Y37" s="76">
        <v>0</v>
      </c>
      <c r="Z37" s="76"/>
      <c r="AA37" s="76">
        <v>0</v>
      </c>
      <c r="AB37" s="76"/>
      <c r="AC37" s="76">
        <v>0</v>
      </c>
      <c r="AD37" s="76"/>
      <c r="AE37" s="76">
        <v>0</v>
      </c>
      <c r="AF37" s="76"/>
      <c r="AG37" s="76">
        <v>0</v>
      </c>
      <c r="AH37"/>
      <c r="AI37" s="76">
        <f t="shared" si="0"/>
        <v>1596876.5799999998</v>
      </c>
      <c r="AJ37" s="10"/>
      <c r="AK37" s="1"/>
      <c r="AL37" s="1"/>
      <c r="AM37" s="1"/>
    </row>
    <row r="38" spans="1:39" ht="12" customHeight="1" x14ac:dyDescent="0.2">
      <c r="A38" s="15" t="s">
        <v>877</v>
      </c>
      <c r="B38" s="15"/>
      <c r="C38" s="15" t="s">
        <v>437</v>
      </c>
      <c r="D38" s="15"/>
      <c r="E38" s="76">
        <v>3767</v>
      </c>
      <c r="F38" s="76"/>
      <c r="G38" s="76">
        <v>0</v>
      </c>
      <c r="H38" s="76"/>
      <c r="I38" s="76">
        <v>9647</v>
      </c>
      <c r="J38" s="76"/>
      <c r="K38" s="76">
        <v>0</v>
      </c>
      <c r="L38" s="76"/>
      <c r="M38" s="76">
        <v>1562</v>
      </c>
      <c r="N38" s="76"/>
      <c r="O38" s="76">
        <v>0</v>
      </c>
      <c r="P38" s="76"/>
      <c r="Q38" s="76">
        <v>0</v>
      </c>
      <c r="R38" s="76"/>
      <c r="S38" s="76">
        <v>245</v>
      </c>
      <c r="T38" s="76"/>
      <c r="U38" s="76">
        <v>0</v>
      </c>
      <c r="V38" s="76"/>
      <c r="W38" s="76">
        <v>0</v>
      </c>
      <c r="X38" s="76"/>
      <c r="Y38" s="76">
        <v>0</v>
      </c>
      <c r="Z38" s="76"/>
      <c r="AA38" s="76">
        <v>0</v>
      </c>
      <c r="AB38" s="76"/>
      <c r="AC38" s="76">
        <v>0</v>
      </c>
      <c r="AD38" s="76"/>
      <c r="AE38" s="76">
        <v>0</v>
      </c>
      <c r="AF38" s="76"/>
      <c r="AG38" s="76">
        <v>0</v>
      </c>
      <c r="AH38" s="38"/>
      <c r="AI38" s="76">
        <f t="shared" si="0"/>
        <v>15221</v>
      </c>
      <c r="AJ38" s="24"/>
      <c r="AK38" s="15"/>
      <c r="AL38" s="15"/>
      <c r="AM38" s="15"/>
    </row>
    <row r="39" spans="1:39" s="21" customFormat="1" ht="12" customHeight="1" x14ac:dyDescent="0.2">
      <c r="A39" s="1" t="s">
        <v>218</v>
      </c>
      <c r="B39" s="1"/>
      <c r="C39" s="1" t="s">
        <v>802</v>
      </c>
      <c r="D39" s="1"/>
      <c r="E39" s="76">
        <v>37534.120000000003</v>
      </c>
      <c r="F39" s="76"/>
      <c r="G39" s="76">
        <v>0</v>
      </c>
      <c r="H39" s="76"/>
      <c r="I39" s="76">
        <v>43675.92</v>
      </c>
      <c r="J39" s="76"/>
      <c r="K39" s="76">
        <v>0</v>
      </c>
      <c r="L39" s="76"/>
      <c r="M39" s="76">
        <v>0</v>
      </c>
      <c r="N39" s="76"/>
      <c r="O39" s="76">
        <v>10</v>
      </c>
      <c r="P39" s="76"/>
      <c r="Q39" s="76">
        <v>429.99</v>
      </c>
      <c r="R39" s="76"/>
      <c r="S39" s="76">
        <v>3753.85</v>
      </c>
      <c r="T39" s="76"/>
      <c r="U39" s="76">
        <v>0</v>
      </c>
      <c r="V39" s="76"/>
      <c r="W39" s="76">
        <v>0</v>
      </c>
      <c r="X39" s="76"/>
      <c r="Y39" s="76">
        <v>0</v>
      </c>
      <c r="Z39" s="76"/>
      <c r="AA39" s="76">
        <v>0</v>
      </c>
      <c r="AB39" s="76"/>
      <c r="AC39" s="76">
        <v>0</v>
      </c>
      <c r="AD39" s="76"/>
      <c r="AE39" s="76">
        <v>0</v>
      </c>
      <c r="AF39" s="76"/>
      <c r="AG39" s="76">
        <v>0</v>
      </c>
      <c r="AH39"/>
      <c r="AI39" s="76">
        <f t="shared" si="0"/>
        <v>85403.880000000019</v>
      </c>
      <c r="AJ39" s="10"/>
      <c r="AK39" s="1"/>
      <c r="AL39" s="1"/>
      <c r="AM39" s="1"/>
    </row>
    <row r="40" spans="1:39" ht="12" customHeight="1" x14ac:dyDescent="0.2">
      <c r="A40" s="1" t="s">
        <v>667</v>
      </c>
      <c r="C40" s="1" t="s">
        <v>666</v>
      </c>
      <c r="E40" s="76">
        <v>6110</v>
      </c>
      <c r="F40" s="76"/>
      <c r="G40" s="76">
        <v>0</v>
      </c>
      <c r="H40" s="76"/>
      <c r="I40" s="76">
        <v>30176</v>
      </c>
      <c r="J40" s="76"/>
      <c r="K40" s="76">
        <v>0</v>
      </c>
      <c r="L40" s="76"/>
      <c r="M40" s="76">
        <v>1200</v>
      </c>
      <c r="N40" s="76"/>
      <c r="O40" s="76">
        <v>220</v>
      </c>
      <c r="P40" s="76"/>
      <c r="Q40" s="76">
        <v>24</v>
      </c>
      <c r="R40" s="76"/>
      <c r="S40" s="76">
        <v>119</v>
      </c>
      <c r="T40" s="76"/>
      <c r="U40" s="76">
        <v>0</v>
      </c>
      <c r="V40" s="76"/>
      <c r="W40" s="76">
        <v>0</v>
      </c>
      <c r="X40" s="76"/>
      <c r="Y40" s="76">
        <v>0</v>
      </c>
      <c r="Z40" s="76"/>
      <c r="AA40" s="76">
        <v>1248</v>
      </c>
      <c r="AB40" s="76"/>
      <c r="AC40" s="76">
        <v>0</v>
      </c>
      <c r="AD40" s="76"/>
      <c r="AE40" s="76">
        <v>0</v>
      </c>
      <c r="AF40" s="76"/>
      <c r="AG40" s="76">
        <v>0</v>
      </c>
      <c r="AH40" s="35"/>
      <c r="AI40" s="76">
        <f t="shared" si="0"/>
        <v>39097</v>
      </c>
      <c r="AJ40" s="10"/>
      <c r="AK40" s="22"/>
      <c r="AL40" s="22"/>
      <c r="AM40" s="22"/>
    </row>
    <row r="41" spans="1:39" s="21" customFormat="1" ht="12" customHeight="1" x14ac:dyDescent="0.2">
      <c r="A41" s="1" t="s">
        <v>837</v>
      </c>
      <c r="B41" s="1"/>
      <c r="C41" s="1" t="s">
        <v>799</v>
      </c>
      <c r="D41" s="1"/>
      <c r="E41" s="76">
        <v>41341.22</v>
      </c>
      <c r="F41" s="76"/>
      <c r="G41" s="76">
        <v>0</v>
      </c>
      <c r="H41" s="76"/>
      <c r="I41" s="76">
        <v>38309.160000000003</v>
      </c>
      <c r="J41" s="76"/>
      <c r="K41" s="76">
        <v>0</v>
      </c>
      <c r="L41" s="76"/>
      <c r="M41" s="76">
        <v>15350</v>
      </c>
      <c r="N41" s="76"/>
      <c r="O41" s="76">
        <v>0</v>
      </c>
      <c r="P41" s="76"/>
      <c r="Q41" s="76">
        <v>1529.29</v>
      </c>
      <c r="R41" s="76"/>
      <c r="S41" s="76">
        <v>3649.55</v>
      </c>
      <c r="T41" s="76"/>
      <c r="U41" s="76">
        <v>0</v>
      </c>
      <c r="V41" s="76"/>
      <c r="W41" s="76">
        <v>0</v>
      </c>
      <c r="X41" s="76"/>
      <c r="Y41" s="76">
        <v>0</v>
      </c>
      <c r="Z41" s="76"/>
      <c r="AA41" s="76">
        <v>0</v>
      </c>
      <c r="AB41" s="76"/>
      <c r="AC41" s="76">
        <v>0</v>
      </c>
      <c r="AD41" s="76"/>
      <c r="AE41" s="76">
        <v>0</v>
      </c>
      <c r="AF41" s="76"/>
      <c r="AG41" s="76">
        <v>0</v>
      </c>
      <c r="AH41"/>
      <c r="AI41" s="76">
        <f t="shared" si="0"/>
        <v>100179.22</v>
      </c>
      <c r="AJ41" s="10"/>
    </row>
    <row r="42" spans="1:39" s="21" customFormat="1" ht="12" customHeight="1" x14ac:dyDescent="0.2">
      <c r="A42" s="1" t="s">
        <v>600</v>
      </c>
      <c r="B42" s="1"/>
      <c r="C42" s="1" t="s">
        <v>601</v>
      </c>
      <c r="D42" s="1"/>
      <c r="E42" s="76">
        <v>1562.92</v>
      </c>
      <c r="F42" s="76"/>
      <c r="G42" s="76">
        <v>0</v>
      </c>
      <c r="H42" s="76"/>
      <c r="I42" s="76">
        <v>6399.56</v>
      </c>
      <c r="J42" s="76"/>
      <c r="K42" s="76">
        <v>0</v>
      </c>
      <c r="L42" s="76"/>
      <c r="M42" s="76">
        <v>600</v>
      </c>
      <c r="N42" s="76"/>
      <c r="O42" s="76">
        <v>1332.9</v>
      </c>
      <c r="P42" s="76"/>
      <c r="Q42" s="76">
        <v>2.99</v>
      </c>
      <c r="R42" s="76"/>
      <c r="S42" s="76">
        <v>211.88</v>
      </c>
      <c r="T42" s="76"/>
      <c r="U42" s="76">
        <v>0</v>
      </c>
      <c r="V42" s="76"/>
      <c r="W42" s="76">
        <v>0</v>
      </c>
      <c r="X42" s="76"/>
      <c r="Y42" s="76">
        <v>0</v>
      </c>
      <c r="Z42" s="76"/>
      <c r="AA42" s="76">
        <v>0</v>
      </c>
      <c r="AB42" s="76"/>
      <c r="AC42" s="76">
        <v>0</v>
      </c>
      <c r="AD42" s="76"/>
      <c r="AE42" s="76">
        <v>0</v>
      </c>
      <c r="AF42" s="76"/>
      <c r="AG42" s="76">
        <v>0</v>
      </c>
      <c r="AH42" s="81"/>
      <c r="AI42" s="76">
        <f t="shared" si="0"/>
        <v>10110.249999999998</v>
      </c>
      <c r="AJ42" s="10"/>
    </row>
    <row r="43" spans="1:39" s="21" customFormat="1" ht="12" customHeight="1" x14ac:dyDescent="0.2">
      <c r="A43" s="1" t="s">
        <v>559</v>
      </c>
      <c r="B43" s="1"/>
      <c r="C43" s="1" t="s">
        <v>560</v>
      </c>
      <c r="D43" s="1"/>
      <c r="E43" s="76">
        <v>41797</v>
      </c>
      <c r="F43" s="76"/>
      <c r="G43" s="76">
        <v>49994</v>
      </c>
      <c r="H43" s="76"/>
      <c r="I43" s="76">
        <v>15562</v>
      </c>
      <c r="J43" s="76"/>
      <c r="K43" s="76">
        <v>0</v>
      </c>
      <c r="L43" s="76"/>
      <c r="M43" s="76">
        <v>7861</v>
      </c>
      <c r="N43" s="76"/>
      <c r="O43" s="76">
        <v>296</v>
      </c>
      <c r="P43" s="76"/>
      <c r="Q43" s="76">
        <v>462</v>
      </c>
      <c r="R43" s="76"/>
      <c r="S43" s="76">
        <v>4922</v>
      </c>
      <c r="T43" s="76"/>
      <c r="U43" s="76">
        <v>0</v>
      </c>
      <c r="V43" s="76"/>
      <c r="W43" s="76">
        <v>0</v>
      </c>
      <c r="X43" s="76"/>
      <c r="Y43" s="76">
        <v>66229</v>
      </c>
      <c r="Z43" s="76"/>
      <c r="AA43" s="76">
        <v>10000</v>
      </c>
      <c r="AB43" s="76"/>
      <c r="AC43" s="76">
        <v>0</v>
      </c>
      <c r="AD43" s="76"/>
      <c r="AE43" s="76">
        <v>14609</v>
      </c>
      <c r="AF43" s="76"/>
      <c r="AG43" s="76">
        <v>0</v>
      </c>
      <c r="AH43" s="35"/>
      <c r="AI43" s="76">
        <f t="shared" si="0"/>
        <v>211732</v>
      </c>
      <c r="AJ43" s="10"/>
      <c r="AK43" s="1"/>
      <c r="AL43" s="1"/>
      <c r="AM43" s="1"/>
    </row>
    <row r="44" spans="1:39" ht="12" customHeight="1" x14ac:dyDescent="0.2">
      <c r="A44" s="1" t="s">
        <v>349</v>
      </c>
      <c r="C44" s="1" t="s">
        <v>350</v>
      </c>
      <c r="E44" s="76">
        <v>81449</v>
      </c>
      <c r="F44" s="76"/>
      <c r="G44" s="76">
        <v>364138</v>
      </c>
      <c r="H44" s="76"/>
      <c r="I44" s="76">
        <v>73946</v>
      </c>
      <c r="J44" s="76"/>
      <c r="K44" s="76">
        <v>0</v>
      </c>
      <c r="L44" s="76"/>
      <c r="M44" s="76">
        <v>39575</v>
      </c>
      <c r="N44" s="76"/>
      <c r="O44" s="76">
        <v>63991</v>
      </c>
      <c r="P44" s="76"/>
      <c r="Q44" s="76">
        <v>2393</v>
      </c>
      <c r="R44" s="76"/>
      <c r="S44" s="76">
        <v>13557</v>
      </c>
      <c r="T44" s="76"/>
      <c r="U44" s="76">
        <v>0</v>
      </c>
      <c r="V44" s="76"/>
      <c r="W44" s="76">
        <v>0</v>
      </c>
      <c r="X44" s="76"/>
      <c r="Y44" s="76">
        <v>54730</v>
      </c>
      <c r="Z44" s="76"/>
      <c r="AA44" s="76">
        <v>0</v>
      </c>
      <c r="AB44" s="76"/>
      <c r="AC44" s="76">
        <v>0</v>
      </c>
      <c r="AD44" s="76"/>
      <c r="AE44" s="76">
        <v>0</v>
      </c>
      <c r="AF44" s="76"/>
      <c r="AG44" s="76">
        <v>0</v>
      </c>
      <c r="AH44" s="35"/>
      <c r="AI44" s="76">
        <f t="shared" si="0"/>
        <v>693779</v>
      </c>
      <c r="AJ44" s="10"/>
      <c r="AK44" s="21"/>
      <c r="AL44" s="21"/>
      <c r="AM44" s="21"/>
    </row>
    <row r="45" spans="1:39" s="21" customFormat="1" ht="12" customHeight="1" x14ac:dyDescent="0.2">
      <c r="A45" s="1" t="s">
        <v>278</v>
      </c>
      <c r="B45" s="1"/>
      <c r="C45" s="1" t="s">
        <v>279</v>
      </c>
      <c r="D45" s="1"/>
      <c r="E45" s="76">
        <v>122464</v>
      </c>
      <c r="F45" s="76"/>
      <c r="G45" s="76">
        <v>0</v>
      </c>
      <c r="H45" s="76"/>
      <c r="I45" s="76">
        <v>162696</v>
      </c>
      <c r="J45" s="76"/>
      <c r="K45" s="76">
        <v>0</v>
      </c>
      <c r="L45" s="76"/>
      <c r="M45" s="76">
        <v>0</v>
      </c>
      <c r="N45" s="76"/>
      <c r="O45" s="76">
        <v>61449</v>
      </c>
      <c r="P45" s="76"/>
      <c r="Q45" s="76">
        <v>80534</v>
      </c>
      <c r="R45" s="76"/>
      <c r="S45" s="76">
        <v>26295</v>
      </c>
      <c r="T45" s="76"/>
      <c r="U45" s="76">
        <v>0</v>
      </c>
      <c r="V45" s="76"/>
      <c r="W45" s="76">
        <v>0</v>
      </c>
      <c r="X45" s="76"/>
      <c r="Y45" s="76">
        <v>0</v>
      </c>
      <c r="Z45" s="76"/>
      <c r="AA45" s="76">
        <v>85000</v>
      </c>
      <c r="AB45" s="76"/>
      <c r="AC45" s="76">
        <v>0</v>
      </c>
      <c r="AD45" s="76"/>
      <c r="AE45" s="76">
        <v>4897276</v>
      </c>
      <c r="AF45" s="76"/>
      <c r="AG45" s="76">
        <v>0</v>
      </c>
      <c r="AH45" s="35"/>
      <c r="AI45" s="76">
        <f t="shared" si="0"/>
        <v>5435714</v>
      </c>
      <c r="AJ45" s="10"/>
      <c r="AK45" s="22"/>
      <c r="AL45" s="22"/>
      <c r="AM45" s="22"/>
    </row>
    <row r="46" spans="1:39" ht="12" customHeight="1" x14ac:dyDescent="0.2">
      <c r="A46" s="1" t="s">
        <v>561</v>
      </c>
      <c r="C46" s="1" t="s">
        <v>560</v>
      </c>
      <c r="E46" s="76">
        <v>12871.44</v>
      </c>
      <c r="F46" s="76"/>
      <c r="G46" s="76">
        <v>0</v>
      </c>
      <c r="H46" s="76"/>
      <c r="I46" s="76">
        <v>10699.58</v>
      </c>
      <c r="J46" s="76"/>
      <c r="K46" s="76">
        <v>0</v>
      </c>
      <c r="L46" s="76"/>
      <c r="M46" s="76">
        <v>0</v>
      </c>
      <c r="N46" s="76"/>
      <c r="O46" s="76">
        <v>0</v>
      </c>
      <c r="P46" s="76"/>
      <c r="Q46" s="76">
        <v>10.44</v>
      </c>
      <c r="R46" s="76"/>
      <c r="S46" s="76">
        <v>6.67</v>
      </c>
      <c r="T46" s="76"/>
      <c r="U46" s="76">
        <v>0</v>
      </c>
      <c r="V46" s="76"/>
      <c r="W46" s="76">
        <v>0</v>
      </c>
      <c r="X46" s="76"/>
      <c r="Y46" s="76">
        <v>7147.66</v>
      </c>
      <c r="Z46" s="76"/>
      <c r="AA46" s="76">
        <v>0</v>
      </c>
      <c r="AB46" s="76"/>
      <c r="AC46" s="76">
        <v>0</v>
      </c>
      <c r="AD46" s="76"/>
      <c r="AE46" s="76">
        <v>0</v>
      </c>
      <c r="AF46" s="76"/>
      <c r="AG46" s="76">
        <v>0</v>
      </c>
      <c r="AH46"/>
      <c r="AI46" s="76">
        <f t="shared" si="0"/>
        <v>30735.789999999997</v>
      </c>
      <c r="AJ46" s="10"/>
      <c r="AK46" s="21"/>
      <c r="AL46" s="21"/>
      <c r="AM46" s="21"/>
    </row>
    <row r="47" spans="1:39" ht="12" customHeight="1" x14ac:dyDescent="0.2">
      <c r="A47" s="1" t="s">
        <v>294</v>
      </c>
      <c r="C47" s="1" t="s">
        <v>295</v>
      </c>
      <c r="E47" s="76">
        <v>59816.93</v>
      </c>
      <c r="F47" s="76"/>
      <c r="G47" s="76">
        <v>976531.62</v>
      </c>
      <c r="H47" s="76"/>
      <c r="I47" s="76">
        <v>80750.350000000006</v>
      </c>
      <c r="J47" s="76"/>
      <c r="K47" s="76">
        <v>0</v>
      </c>
      <c r="L47" s="76"/>
      <c r="M47" s="76">
        <v>117.8</v>
      </c>
      <c r="N47" s="76"/>
      <c r="O47" s="76">
        <v>20656.669999999998</v>
      </c>
      <c r="P47" s="76"/>
      <c r="Q47" s="76">
        <v>1012.39</v>
      </c>
      <c r="R47" s="76"/>
      <c r="S47" s="76">
        <v>0</v>
      </c>
      <c r="T47" s="76"/>
      <c r="U47" s="76">
        <v>0</v>
      </c>
      <c r="V47" s="76"/>
      <c r="W47" s="76">
        <v>0</v>
      </c>
      <c r="X47" s="76"/>
      <c r="Y47" s="76">
        <v>0</v>
      </c>
      <c r="Z47" s="76"/>
      <c r="AA47" s="76">
        <v>0</v>
      </c>
      <c r="AB47" s="76"/>
      <c r="AC47" s="76">
        <v>0</v>
      </c>
      <c r="AD47" s="76"/>
      <c r="AE47" s="76">
        <v>7758.69</v>
      </c>
      <c r="AF47" s="76"/>
      <c r="AG47" s="76">
        <v>0</v>
      </c>
      <c r="AH47"/>
      <c r="AI47" s="76">
        <f t="shared" si="0"/>
        <v>1146644.45</v>
      </c>
      <c r="AJ47" s="10"/>
      <c r="AK47" s="7"/>
      <c r="AL47" s="7"/>
      <c r="AM47" s="7"/>
    </row>
    <row r="48" spans="1:39" ht="12" customHeight="1" x14ac:dyDescent="0.2">
      <c r="A48" s="1" t="s">
        <v>489</v>
      </c>
      <c r="C48" s="1" t="s">
        <v>490</v>
      </c>
      <c r="E48" s="76">
        <v>13419</v>
      </c>
      <c r="F48" s="76"/>
      <c r="G48" s="76">
        <v>0</v>
      </c>
      <c r="H48" s="76"/>
      <c r="I48" s="76">
        <v>0</v>
      </c>
      <c r="J48" s="76"/>
      <c r="K48" s="76">
        <v>0</v>
      </c>
      <c r="L48" s="76"/>
      <c r="M48" s="76">
        <v>0</v>
      </c>
      <c r="N48" s="76"/>
      <c r="O48" s="76">
        <v>0</v>
      </c>
      <c r="P48" s="76"/>
      <c r="Q48" s="76">
        <v>0</v>
      </c>
      <c r="R48" s="76"/>
      <c r="S48" s="76">
        <v>24753</v>
      </c>
      <c r="T48" s="76"/>
      <c r="U48" s="76">
        <v>0</v>
      </c>
      <c r="V48" s="76"/>
      <c r="W48" s="76">
        <v>0</v>
      </c>
      <c r="X48" s="76"/>
      <c r="Y48" s="76">
        <v>0</v>
      </c>
      <c r="Z48" s="76"/>
      <c r="AA48" s="76">
        <v>0</v>
      </c>
      <c r="AB48" s="76"/>
      <c r="AC48" s="76">
        <v>0</v>
      </c>
      <c r="AD48" s="76"/>
      <c r="AE48" s="76">
        <v>0</v>
      </c>
      <c r="AF48" s="76"/>
      <c r="AG48" s="76">
        <v>0</v>
      </c>
      <c r="AH48" s="35"/>
      <c r="AI48" s="76">
        <f t="shared" si="0"/>
        <v>38172</v>
      </c>
      <c r="AJ48" s="10"/>
    </row>
    <row r="49" spans="1:39" s="21" customFormat="1" ht="12" customHeight="1" x14ac:dyDescent="0.2">
      <c r="A49" s="1" t="s">
        <v>58</v>
      </c>
      <c r="B49" s="1"/>
      <c r="C49" s="1" t="s">
        <v>755</v>
      </c>
      <c r="D49" s="1"/>
      <c r="E49" s="76">
        <v>69682.429999999993</v>
      </c>
      <c r="F49" s="76"/>
      <c r="G49" s="76">
        <v>0</v>
      </c>
      <c r="H49" s="76"/>
      <c r="I49" s="76">
        <v>55422.83</v>
      </c>
      <c r="J49" s="76"/>
      <c r="K49" s="76">
        <v>3307.48</v>
      </c>
      <c r="L49" s="76"/>
      <c r="M49" s="76">
        <v>0</v>
      </c>
      <c r="N49" s="76"/>
      <c r="O49" s="76">
        <v>23096.69</v>
      </c>
      <c r="P49" s="76"/>
      <c r="Q49" s="76">
        <v>71.569999999999993</v>
      </c>
      <c r="R49" s="76"/>
      <c r="S49" s="76">
        <v>801.23</v>
      </c>
      <c r="T49" s="76"/>
      <c r="U49" s="76">
        <v>0</v>
      </c>
      <c r="V49" s="76"/>
      <c r="W49" s="76">
        <v>0</v>
      </c>
      <c r="X49" s="76"/>
      <c r="Y49" s="76">
        <v>0</v>
      </c>
      <c r="Z49" s="76"/>
      <c r="AA49" s="76">
        <v>0</v>
      </c>
      <c r="AB49" s="76"/>
      <c r="AC49" s="76">
        <v>0</v>
      </c>
      <c r="AD49" s="76"/>
      <c r="AE49" s="76">
        <v>0</v>
      </c>
      <c r="AF49" s="76"/>
      <c r="AG49" s="76">
        <v>0</v>
      </c>
      <c r="AH49"/>
      <c r="AI49" s="76">
        <f t="shared" si="0"/>
        <v>152382.23000000001</v>
      </c>
      <c r="AJ49" s="10"/>
      <c r="AK49" s="22"/>
      <c r="AL49" s="22"/>
      <c r="AM49" s="22"/>
    </row>
    <row r="50" spans="1:39" s="21" customFormat="1" ht="12" customHeight="1" x14ac:dyDescent="0.2">
      <c r="A50" s="1" t="s">
        <v>539</v>
      </c>
      <c r="B50" s="1"/>
      <c r="C50" s="1" t="s">
        <v>540</v>
      </c>
      <c r="D50" s="1"/>
      <c r="E50" s="76">
        <v>37957</v>
      </c>
      <c r="F50" s="76"/>
      <c r="G50" s="76">
        <v>46997</v>
      </c>
      <c r="H50" s="76"/>
      <c r="I50" s="76">
        <v>31730</v>
      </c>
      <c r="J50" s="76"/>
      <c r="K50" s="76">
        <v>0</v>
      </c>
      <c r="L50" s="76"/>
      <c r="M50" s="76">
        <v>29</v>
      </c>
      <c r="N50" s="76"/>
      <c r="O50" s="76">
        <v>483</v>
      </c>
      <c r="P50" s="76"/>
      <c r="Q50" s="76">
        <v>8860</v>
      </c>
      <c r="R50" s="76"/>
      <c r="S50" s="76">
        <v>18498</v>
      </c>
      <c r="T50" s="76"/>
      <c r="U50" s="76">
        <v>0</v>
      </c>
      <c r="V50" s="76"/>
      <c r="W50" s="76">
        <v>0</v>
      </c>
      <c r="X50" s="76"/>
      <c r="Y50" s="76">
        <v>0</v>
      </c>
      <c r="Z50" s="76"/>
      <c r="AA50" s="76">
        <v>0</v>
      </c>
      <c r="AB50" s="76"/>
      <c r="AC50" s="76">
        <v>0</v>
      </c>
      <c r="AD50" s="76"/>
      <c r="AE50" s="76">
        <v>0</v>
      </c>
      <c r="AF50" s="76"/>
      <c r="AG50" s="76">
        <v>0</v>
      </c>
      <c r="AH50" s="35"/>
      <c r="AI50" s="76">
        <f t="shared" si="0"/>
        <v>144554</v>
      </c>
      <c r="AJ50" s="10"/>
    </row>
    <row r="51" spans="1:39" s="21" customFormat="1" ht="12" customHeight="1" x14ac:dyDescent="0.2">
      <c r="A51" s="1" t="s">
        <v>164</v>
      </c>
      <c r="B51" s="1"/>
      <c r="C51" s="1" t="s">
        <v>785</v>
      </c>
      <c r="D51" s="1"/>
      <c r="E51" s="76">
        <v>14428.9</v>
      </c>
      <c r="F51" s="76"/>
      <c r="G51" s="76">
        <v>0</v>
      </c>
      <c r="H51" s="76"/>
      <c r="I51" s="76">
        <v>12731.64</v>
      </c>
      <c r="J51" s="76"/>
      <c r="K51" s="76">
        <v>0</v>
      </c>
      <c r="L51" s="76"/>
      <c r="M51" s="76">
        <v>0</v>
      </c>
      <c r="N51" s="76"/>
      <c r="O51" s="76">
        <v>0</v>
      </c>
      <c r="P51" s="76"/>
      <c r="Q51" s="76">
        <v>102.77</v>
      </c>
      <c r="R51" s="76"/>
      <c r="S51" s="76">
        <v>1010.32</v>
      </c>
      <c r="T51" s="76"/>
      <c r="U51" s="76">
        <v>0</v>
      </c>
      <c r="V51" s="76"/>
      <c r="W51" s="76">
        <v>0</v>
      </c>
      <c r="X51" s="76"/>
      <c r="Y51" s="76">
        <v>0</v>
      </c>
      <c r="Z51" s="76"/>
      <c r="AA51" s="76">
        <v>0</v>
      </c>
      <c r="AB51" s="76"/>
      <c r="AC51" s="76">
        <v>0</v>
      </c>
      <c r="AD51" s="76"/>
      <c r="AE51" s="76">
        <v>0</v>
      </c>
      <c r="AF51" s="76"/>
      <c r="AG51" s="76">
        <v>0</v>
      </c>
      <c r="AH51"/>
      <c r="AI51" s="76">
        <f t="shared" si="0"/>
        <v>28273.63</v>
      </c>
      <c r="AJ51" s="10"/>
      <c r="AK51" s="1"/>
      <c r="AL51" s="1"/>
      <c r="AM51" s="1"/>
    </row>
    <row r="52" spans="1:39" ht="12" customHeight="1" x14ac:dyDescent="0.2">
      <c r="A52" s="1" t="s">
        <v>193</v>
      </c>
      <c r="C52" s="1" t="s">
        <v>794</v>
      </c>
      <c r="E52" s="76">
        <v>8774.1</v>
      </c>
      <c r="F52" s="76"/>
      <c r="G52" s="76">
        <v>0</v>
      </c>
      <c r="H52" s="76"/>
      <c r="I52" s="76">
        <v>56212.88</v>
      </c>
      <c r="J52" s="76"/>
      <c r="K52" s="76">
        <v>0</v>
      </c>
      <c r="L52" s="76"/>
      <c r="M52" s="76">
        <v>0</v>
      </c>
      <c r="N52" s="76"/>
      <c r="O52" s="76">
        <v>3950.81</v>
      </c>
      <c r="P52" s="76"/>
      <c r="Q52" s="76">
        <v>98.5</v>
      </c>
      <c r="R52" s="76"/>
      <c r="S52" s="76">
        <v>5081</v>
      </c>
      <c r="T52" s="76"/>
      <c r="U52" s="76">
        <v>0</v>
      </c>
      <c r="V52" s="76"/>
      <c r="W52" s="76">
        <v>0</v>
      </c>
      <c r="X52" s="76"/>
      <c r="Y52" s="76">
        <v>0</v>
      </c>
      <c r="Z52" s="76"/>
      <c r="AA52" s="76">
        <v>0</v>
      </c>
      <c r="AB52" s="76"/>
      <c r="AC52" s="76">
        <v>15000</v>
      </c>
      <c r="AD52" s="76"/>
      <c r="AE52" s="76">
        <v>0</v>
      </c>
      <c r="AF52" s="76"/>
      <c r="AG52" s="76">
        <v>0</v>
      </c>
      <c r="AH52" s="81"/>
      <c r="AI52" s="76">
        <f t="shared" si="0"/>
        <v>89117.29</v>
      </c>
      <c r="AJ52" s="10"/>
      <c r="AK52" s="21"/>
      <c r="AL52" s="21"/>
      <c r="AM52" s="21"/>
    </row>
    <row r="53" spans="1:39" s="21" customFormat="1" ht="12" customHeight="1" x14ac:dyDescent="0.2">
      <c r="A53" s="1" t="s">
        <v>2</v>
      </c>
      <c r="B53" s="1"/>
      <c r="C53" s="1" t="s">
        <v>737</v>
      </c>
      <c r="D53" s="1"/>
      <c r="E53" s="76">
        <v>23250.83</v>
      </c>
      <c r="F53" s="76"/>
      <c r="G53" s="76">
        <v>0</v>
      </c>
      <c r="H53" s="76"/>
      <c r="I53" s="76">
        <v>16180.25</v>
      </c>
      <c r="J53" s="76"/>
      <c r="K53" s="76">
        <v>0</v>
      </c>
      <c r="L53" s="76"/>
      <c r="M53" s="76">
        <v>350</v>
      </c>
      <c r="N53" s="76"/>
      <c r="O53" s="76">
        <v>4553.01</v>
      </c>
      <c r="P53" s="76"/>
      <c r="Q53" s="76">
        <v>1016.17</v>
      </c>
      <c r="R53" s="76"/>
      <c r="S53" s="76">
        <v>7354.01</v>
      </c>
      <c r="T53" s="76"/>
      <c r="U53" s="76">
        <v>0</v>
      </c>
      <c r="V53" s="76"/>
      <c r="W53" s="76">
        <v>0</v>
      </c>
      <c r="X53" s="76"/>
      <c r="Y53" s="76">
        <v>0</v>
      </c>
      <c r="Z53" s="76"/>
      <c r="AA53" s="76">
        <v>0</v>
      </c>
      <c r="AB53" s="76"/>
      <c r="AC53" s="76">
        <v>0</v>
      </c>
      <c r="AD53" s="76"/>
      <c r="AE53" s="76">
        <v>390</v>
      </c>
      <c r="AF53" s="76"/>
      <c r="AG53" s="76">
        <v>0</v>
      </c>
      <c r="AH53"/>
      <c r="AI53" s="76">
        <f t="shared" si="0"/>
        <v>53094.270000000004</v>
      </c>
      <c r="AJ53" s="10"/>
      <c r="AK53" s="22"/>
      <c r="AL53" s="22"/>
      <c r="AM53" s="22"/>
    </row>
    <row r="54" spans="1:39" s="21" customFormat="1" ht="12" customHeight="1" x14ac:dyDescent="0.2">
      <c r="A54" s="1" t="s">
        <v>280</v>
      </c>
      <c r="B54" s="1"/>
      <c r="C54" s="1" t="s">
        <v>279</v>
      </c>
      <c r="D54" s="1"/>
      <c r="E54" s="76">
        <v>75220</v>
      </c>
      <c r="F54" s="76"/>
      <c r="G54" s="76">
        <v>735966</v>
      </c>
      <c r="H54" s="76"/>
      <c r="I54" s="76">
        <v>196218</v>
      </c>
      <c r="J54" s="76"/>
      <c r="K54" s="76">
        <v>0</v>
      </c>
      <c r="L54" s="76"/>
      <c r="M54" s="76">
        <v>156338</v>
      </c>
      <c r="N54" s="76"/>
      <c r="O54" s="76">
        <v>69334</v>
      </c>
      <c r="P54" s="76"/>
      <c r="Q54" s="76">
        <v>9298</v>
      </c>
      <c r="R54" s="76"/>
      <c r="S54" s="76">
        <f>1458+31906</f>
        <v>33364</v>
      </c>
      <c r="T54" s="76"/>
      <c r="U54" s="76">
        <v>0</v>
      </c>
      <c r="V54" s="76"/>
      <c r="W54" s="76">
        <v>0</v>
      </c>
      <c r="X54" s="76"/>
      <c r="Y54" s="76">
        <v>0</v>
      </c>
      <c r="Z54" s="76"/>
      <c r="AA54" s="76">
        <v>0</v>
      </c>
      <c r="AB54" s="76"/>
      <c r="AC54" s="76">
        <v>0</v>
      </c>
      <c r="AD54" s="76"/>
      <c r="AE54" s="76">
        <v>0</v>
      </c>
      <c r="AF54" s="76"/>
      <c r="AG54" s="76">
        <v>0</v>
      </c>
      <c r="AH54" s="76"/>
      <c r="AI54" s="76">
        <f t="shared" si="0"/>
        <v>1275738</v>
      </c>
      <c r="AJ54" s="36"/>
      <c r="AK54" s="7"/>
      <c r="AL54" s="7"/>
      <c r="AM54" s="7"/>
    </row>
    <row r="55" spans="1:39" s="21" customFormat="1" ht="12" customHeight="1" x14ac:dyDescent="0.2">
      <c r="A55" s="1" t="s">
        <v>132</v>
      </c>
      <c r="B55" s="1"/>
      <c r="C55" s="1" t="s">
        <v>775</v>
      </c>
      <c r="D55" s="1"/>
      <c r="E55" s="76">
        <v>28393.25</v>
      </c>
      <c r="F55" s="76"/>
      <c r="G55" s="76">
        <v>109209.01</v>
      </c>
      <c r="H55" s="76"/>
      <c r="I55" s="76">
        <v>60856.52</v>
      </c>
      <c r="J55" s="76"/>
      <c r="K55" s="76">
        <v>0</v>
      </c>
      <c r="L55" s="76"/>
      <c r="M55" s="76">
        <v>0</v>
      </c>
      <c r="N55" s="76"/>
      <c r="O55" s="76">
        <v>7361.12</v>
      </c>
      <c r="P55" s="76"/>
      <c r="Q55" s="76">
        <v>2077.69</v>
      </c>
      <c r="R55" s="76"/>
      <c r="S55" s="76">
        <v>2422.69</v>
      </c>
      <c r="T55" s="76"/>
      <c r="U55" s="76">
        <v>0</v>
      </c>
      <c r="V55" s="76"/>
      <c r="W55" s="76">
        <v>0</v>
      </c>
      <c r="X55" s="76"/>
      <c r="Y55" s="76">
        <v>0</v>
      </c>
      <c r="Z55" s="76"/>
      <c r="AA55" s="76">
        <v>0</v>
      </c>
      <c r="AB55" s="76"/>
      <c r="AC55" s="76">
        <v>0</v>
      </c>
      <c r="AD55" s="76"/>
      <c r="AE55" s="76">
        <v>0</v>
      </c>
      <c r="AF55" s="76"/>
      <c r="AG55" s="76">
        <v>0</v>
      </c>
      <c r="AH55"/>
      <c r="AI55" s="76">
        <f t="shared" si="0"/>
        <v>210320.28</v>
      </c>
      <c r="AJ55" s="10"/>
      <c r="AK55" s="1"/>
      <c r="AL55" s="1"/>
      <c r="AM55" s="1"/>
    </row>
    <row r="56" spans="1:39" ht="12" customHeight="1" x14ac:dyDescent="0.2">
      <c r="A56" s="1" t="s">
        <v>491</v>
      </c>
      <c r="C56" s="1" t="s">
        <v>490</v>
      </c>
      <c r="E56" s="76">
        <v>10058</v>
      </c>
      <c r="F56" s="76"/>
      <c r="G56" s="76">
        <v>0</v>
      </c>
      <c r="H56" s="76"/>
      <c r="I56" s="76">
        <v>13963</v>
      </c>
      <c r="J56" s="76"/>
      <c r="K56" s="76">
        <v>0</v>
      </c>
      <c r="L56" s="76"/>
      <c r="M56" s="76">
        <v>0</v>
      </c>
      <c r="N56" s="76"/>
      <c r="O56" s="76">
        <v>0</v>
      </c>
      <c r="P56" s="76"/>
      <c r="Q56" s="76">
        <v>9</v>
      </c>
      <c r="R56" s="76"/>
      <c r="S56" s="76">
        <v>4961</v>
      </c>
      <c r="T56" s="76"/>
      <c r="U56" s="76">
        <v>0</v>
      </c>
      <c r="V56" s="76"/>
      <c r="W56" s="76">
        <v>0</v>
      </c>
      <c r="X56" s="76"/>
      <c r="Y56" s="76">
        <v>0</v>
      </c>
      <c r="Z56" s="76"/>
      <c r="AA56" s="76">
        <v>0</v>
      </c>
      <c r="AB56" s="76"/>
      <c r="AC56" s="76">
        <v>0</v>
      </c>
      <c r="AD56" s="76"/>
      <c r="AE56" s="76">
        <v>0</v>
      </c>
      <c r="AF56" s="76"/>
      <c r="AG56" s="76">
        <v>0</v>
      </c>
      <c r="AH56" s="76"/>
      <c r="AI56" s="76">
        <f t="shared" si="0"/>
        <v>28991</v>
      </c>
      <c r="AJ56" s="10"/>
      <c r="AK56" s="21"/>
      <c r="AL56" s="21"/>
      <c r="AM56" s="21"/>
    </row>
    <row r="57" spans="1:39" ht="12" customHeight="1" x14ac:dyDescent="0.2">
      <c r="A57" s="1" t="s">
        <v>208</v>
      </c>
      <c r="C57" s="1" t="s">
        <v>798</v>
      </c>
      <c r="E57" s="76">
        <v>236897.43</v>
      </c>
      <c r="F57" s="76"/>
      <c r="G57" s="76">
        <v>0</v>
      </c>
      <c r="H57" s="76"/>
      <c r="I57" s="76">
        <v>109051.1</v>
      </c>
      <c r="J57" s="76"/>
      <c r="K57" s="76">
        <v>0</v>
      </c>
      <c r="L57" s="76"/>
      <c r="M57" s="76">
        <v>2350</v>
      </c>
      <c r="N57" s="76"/>
      <c r="O57" s="76">
        <v>52397.51</v>
      </c>
      <c r="P57" s="76"/>
      <c r="Q57" s="76">
        <v>428.17</v>
      </c>
      <c r="R57" s="76"/>
      <c r="S57" s="76">
        <v>11506.54</v>
      </c>
      <c r="T57" s="76"/>
      <c r="U57" s="76">
        <v>0</v>
      </c>
      <c r="V57" s="76"/>
      <c r="W57" s="76">
        <v>0</v>
      </c>
      <c r="X57" s="76"/>
      <c r="Y57" s="76">
        <v>0</v>
      </c>
      <c r="Z57" s="76"/>
      <c r="AA57" s="76">
        <v>341907.06</v>
      </c>
      <c r="AB57" s="76"/>
      <c r="AC57" s="76">
        <v>0</v>
      </c>
      <c r="AD57" s="76"/>
      <c r="AE57" s="76">
        <v>0</v>
      </c>
      <c r="AF57" s="76"/>
      <c r="AG57" s="76">
        <v>16066.53</v>
      </c>
      <c r="AH57"/>
      <c r="AI57" s="76">
        <f t="shared" si="0"/>
        <v>770604.34000000008</v>
      </c>
      <c r="AJ57" s="10"/>
    </row>
    <row r="58" spans="1:39" ht="12" customHeight="1" x14ac:dyDescent="0.2">
      <c r="A58" s="1" t="s">
        <v>279</v>
      </c>
      <c r="C58" s="1" t="s">
        <v>279</v>
      </c>
      <c r="E58" s="76">
        <v>9904.2800000000007</v>
      </c>
      <c r="F58" s="76"/>
      <c r="G58" s="76">
        <v>0</v>
      </c>
      <c r="H58" s="76"/>
      <c r="I58" s="76">
        <v>31398.77</v>
      </c>
      <c r="J58" s="76"/>
      <c r="K58" s="76">
        <v>0</v>
      </c>
      <c r="L58" s="76"/>
      <c r="M58" s="76">
        <v>16084.25</v>
      </c>
      <c r="N58" s="76"/>
      <c r="O58" s="76">
        <v>5058.79</v>
      </c>
      <c r="P58" s="76"/>
      <c r="Q58" s="76">
        <v>1111.21</v>
      </c>
      <c r="R58" s="76"/>
      <c r="S58" s="76">
        <v>1431.77</v>
      </c>
      <c r="T58" s="76"/>
      <c r="U58" s="76">
        <v>0</v>
      </c>
      <c r="V58" s="76"/>
      <c r="W58" s="76">
        <v>0</v>
      </c>
      <c r="X58" s="76"/>
      <c r="Y58" s="76">
        <v>0</v>
      </c>
      <c r="Z58" s="76"/>
      <c r="AA58" s="76">
        <v>0</v>
      </c>
      <c r="AB58" s="76"/>
      <c r="AC58" s="76">
        <v>0</v>
      </c>
      <c r="AD58" s="76"/>
      <c r="AE58" s="76">
        <v>0</v>
      </c>
      <c r="AF58" s="76"/>
      <c r="AG58" s="76">
        <v>0</v>
      </c>
      <c r="AH58"/>
      <c r="AI58" s="76">
        <f t="shared" si="0"/>
        <v>64989.07</v>
      </c>
      <c r="AJ58" s="10"/>
      <c r="AK58" s="7"/>
      <c r="AL58" s="7"/>
      <c r="AM58" s="7"/>
    </row>
    <row r="59" spans="1:39" s="21" customFormat="1" ht="12" customHeight="1" x14ac:dyDescent="0.2">
      <c r="A59" s="1" t="s">
        <v>916</v>
      </c>
      <c r="B59" s="1"/>
      <c r="C59" s="1" t="s">
        <v>513</v>
      </c>
      <c r="D59" s="1"/>
      <c r="E59" s="76">
        <v>3853.62</v>
      </c>
      <c r="F59" s="76"/>
      <c r="G59" s="76">
        <v>0</v>
      </c>
      <c r="H59" s="76"/>
      <c r="I59" s="76">
        <v>28768.28</v>
      </c>
      <c r="J59" s="76"/>
      <c r="K59" s="76">
        <v>0</v>
      </c>
      <c r="L59" s="76"/>
      <c r="M59" s="76">
        <v>0</v>
      </c>
      <c r="N59" s="76"/>
      <c r="O59" s="76">
        <v>0</v>
      </c>
      <c r="P59" s="76"/>
      <c r="Q59" s="76">
        <v>3.7</v>
      </c>
      <c r="R59" s="76"/>
      <c r="S59" s="76">
        <v>1821.38</v>
      </c>
      <c r="T59" s="76"/>
      <c r="U59" s="76">
        <v>0</v>
      </c>
      <c r="V59" s="76"/>
      <c r="W59" s="76">
        <v>0</v>
      </c>
      <c r="X59" s="76"/>
      <c r="Y59" s="76">
        <v>0</v>
      </c>
      <c r="Z59" s="76"/>
      <c r="AA59" s="76">
        <v>0</v>
      </c>
      <c r="AB59" s="76"/>
      <c r="AC59" s="76">
        <v>0</v>
      </c>
      <c r="AD59" s="76"/>
      <c r="AE59" s="76">
        <v>0</v>
      </c>
      <c r="AF59" s="76"/>
      <c r="AG59" s="76">
        <v>0</v>
      </c>
      <c r="AH59"/>
      <c r="AI59" s="76">
        <f t="shared" si="0"/>
        <v>34446.979999999996</v>
      </c>
      <c r="AJ59" s="10"/>
      <c r="AK59" s="7"/>
      <c r="AL59" s="7"/>
      <c r="AM59" s="7"/>
    </row>
    <row r="60" spans="1:39" s="21" customFormat="1" ht="12" customHeight="1" x14ac:dyDescent="0.2">
      <c r="A60" s="1" t="s">
        <v>143</v>
      </c>
      <c r="B60" s="1"/>
      <c r="C60" s="1" t="s">
        <v>779</v>
      </c>
      <c r="D60" s="1"/>
      <c r="E60" s="76">
        <v>50085.51</v>
      </c>
      <c r="F60" s="76"/>
      <c r="G60" s="76">
        <v>0</v>
      </c>
      <c r="H60" s="76"/>
      <c r="I60" s="76">
        <v>11005.08</v>
      </c>
      <c r="J60" s="76"/>
      <c r="K60" s="76">
        <v>0</v>
      </c>
      <c r="L60" s="76"/>
      <c r="M60" s="76">
        <v>0</v>
      </c>
      <c r="N60" s="76"/>
      <c r="O60" s="76">
        <v>14858.53</v>
      </c>
      <c r="P60" s="76"/>
      <c r="Q60" s="76">
        <v>55.86</v>
      </c>
      <c r="R60" s="76"/>
      <c r="S60" s="76">
        <v>22514.89</v>
      </c>
      <c r="T60" s="76"/>
      <c r="U60" s="76">
        <v>0</v>
      </c>
      <c r="V60" s="76"/>
      <c r="W60" s="76">
        <v>0</v>
      </c>
      <c r="X60" s="76"/>
      <c r="Y60" s="76">
        <v>0</v>
      </c>
      <c r="Z60" s="76"/>
      <c r="AA60" s="76">
        <v>0</v>
      </c>
      <c r="AB60" s="76"/>
      <c r="AC60" s="76">
        <v>0</v>
      </c>
      <c r="AD60" s="76"/>
      <c r="AE60" s="76">
        <v>0</v>
      </c>
      <c r="AF60" s="76"/>
      <c r="AG60" s="76">
        <v>0</v>
      </c>
      <c r="AH60"/>
      <c r="AI60" s="76">
        <f t="shared" si="0"/>
        <v>98519.87000000001</v>
      </c>
      <c r="AJ60" s="10"/>
      <c r="AK60" s="1"/>
      <c r="AL60" s="1"/>
      <c r="AM60" s="1"/>
    </row>
    <row r="61" spans="1:39" ht="12" customHeight="1" x14ac:dyDescent="0.2">
      <c r="A61" s="1" t="s">
        <v>315</v>
      </c>
      <c r="C61" s="1" t="s">
        <v>316</v>
      </c>
      <c r="E61" s="76">
        <v>502025</v>
      </c>
      <c r="F61" s="76"/>
      <c r="G61" s="76">
        <v>861353</v>
      </c>
      <c r="H61" s="76"/>
      <c r="I61" s="76">
        <v>78848</v>
      </c>
      <c r="J61" s="76"/>
      <c r="K61" s="76">
        <v>0</v>
      </c>
      <c r="L61" s="76"/>
      <c r="M61" s="76">
        <v>9336</v>
      </c>
      <c r="N61" s="76"/>
      <c r="O61" s="76">
        <v>33943</v>
      </c>
      <c r="P61" s="76"/>
      <c r="Q61" s="76">
        <v>5772</v>
      </c>
      <c r="R61" s="76"/>
      <c r="S61" s="76">
        <v>52618</v>
      </c>
      <c r="T61" s="76"/>
      <c r="U61" s="76">
        <v>0</v>
      </c>
      <c r="V61" s="76"/>
      <c r="W61" s="76">
        <v>0</v>
      </c>
      <c r="X61" s="76"/>
      <c r="Y61" s="76">
        <v>1000</v>
      </c>
      <c r="Z61" s="76"/>
      <c r="AA61" s="76">
        <v>0</v>
      </c>
      <c r="AB61" s="76"/>
      <c r="AC61" s="76">
        <v>125000</v>
      </c>
      <c r="AD61" s="76"/>
      <c r="AE61" s="76">
        <v>0</v>
      </c>
      <c r="AF61" s="76"/>
      <c r="AG61" s="76">
        <v>0</v>
      </c>
      <c r="AH61" s="76"/>
      <c r="AI61" s="76">
        <f t="shared" si="0"/>
        <v>1669895</v>
      </c>
      <c r="AJ61" s="10"/>
      <c r="AK61" s="7"/>
      <c r="AL61" s="7"/>
      <c r="AM61" s="7"/>
    </row>
    <row r="62" spans="1:39" s="19" customFormat="1" ht="12" customHeight="1" x14ac:dyDescent="0.2">
      <c r="A62" s="1" t="s">
        <v>878</v>
      </c>
      <c r="B62" s="1"/>
      <c r="C62" s="1" t="s">
        <v>388</v>
      </c>
      <c r="D62" s="1"/>
      <c r="E62" s="76">
        <v>4831</v>
      </c>
      <c r="F62" s="76"/>
      <c r="G62" s="76">
        <v>0</v>
      </c>
      <c r="H62" s="76"/>
      <c r="I62" s="76">
        <v>28889</v>
      </c>
      <c r="J62" s="76"/>
      <c r="K62" s="76">
        <v>0</v>
      </c>
      <c r="L62" s="76"/>
      <c r="M62" s="76">
        <v>0</v>
      </c>
      <c r="N62" s="76"/>
      <c r="O62" s="76">
        <v>0</v>
      </c>
      <c r="P62" s="76"/>
      <c r="Q62" s="76">
        <v>253</v>
      </c>
      <c r="R62" s="76"/>
      <c r="S62" s="76">
        <v>641</v>
      </c>
      <c r="T62" s="76"/>
      <c r="U62" s="76">
        <v>0</v>
      </c>
      <c r="V62" s="76"/>
      <c r="W62" s="76">
        <v>0</v>
      </c>
      <c r="X62" s="76"/>
      <c r="Y62" s="76">
        <v>0</v>
      </c>
      <c r="Z62" s="76"/>
      <c r="AA62" s="76">
        <v>0</v>
      </c>
      <c r="AB62" s="76"/>
      <c r="AC62" s="76">
        <v>0</v>
      </c>
      <c r="AD62" s="76"/>
      <c r="AE62" s="76">
        <v>0</v>
      </c>
      <c r="AF62" s="76"/>
      <c r="AG62" s="76">
        <v>0</v>
      </c>
      <c r="AH62" s="76"/>
      <c r="AI62" s="76">
        <f t="shared" si="0"/>
        <v>34614</v>
      </c>
      <c r="AJ62" s="10"/>
      <c r="AK62" s="21"/>
      <c r="AL62" s="21"/>
      <c r="AM62" s="21"/>
    </row>
    <row r="63" spans="1:39" s="21" customFormat="1" ht="12" customHeight="1" x14ac:dyDescent="0.2">
      <c r="A63" s="1" t="s">
        <v>422</v>
      </c>
      <c r="B63" s="1"/>
      <c r="C63" s="1" t="s">
        <v>420</v>
      </c>
      <c r="D63" s="1"/>
      <c r="E63" s="76">
        <v>20315.84</v>
      </c>
      <c r="F63" s="76"/>
      <c r="G63" s="76">
        <v>0</v>
      </c>
      <c r="H63" s="76"/>
      <c r="I63" s="76">
        <v>28155.4</v>
      </c>
      <c r="J63" s="76"/>
      <c r="K63" s="76">
        <v>0</v>
      </c>
      <c r="L63" s="76"/>
      <c r="M63" s="76">
        <v>0</v>
      </c>
      <c r="N63" s="76"/>
      <c r="O63" s="76">
        <v>0</v>
      </c>
      <c r="P63" s="76"/>
      <c r="Q63" s="76">
        <v>14.46</v>
      </c>
      <c r="R63" s="76"/>
      <c r="S63" s="76">
        <v>11169.72</v>
      </c>
      <c r="T63" s="76"/>
      <c r="U63" s="76">
        <v>0</v>
      </c>
      <c r="V63" s="76"/>
      <c r="W63" s="76">
        <v>0</v>
      </c>
      <c r="X63" s="76"/>
      <c r="Y63" s="76">
        <v>0</v>
      </c>
      <c r="Z63" s="76"/>
      <c r="AA63" s="76">
        <v>0</v>
      </c>
      <c r="AB63" s="76"/>
      <c r="AC63" s="76">
        <v>0</v>
      </c>
      <c r="AD63" s="76"/>
      <c r="AE63" s="76">
        <v>4287.96</v>
      </c>
      <c r="AF63" s="76"/>
      <c r="AG63" s="76">
        <v>0</v>
      </c>
      <c r="AH63" s="81"/>
      <c r="AI63" s="76">
        <f t="shared" si="0"/>
        <v>63943.380000000005</v>
      </c>
      <c r="AJ63" s="10"/>
    </row>
    <row r="64" spans="1:39" s="21" customFormat="1" ht="12" customHeight="1" x14ac:dyDescent="0.2">
      <c r="A64" s="1" t="s">
        <v>139</v>
      </c>
      <c r="B64" s="1"/>
      <c r="C64" s="1" t="s">
        <v>777</v>
      </c>
      <c r="D64" s="1"/>
      <c r="E64" s="76">
        <v>14050.77</v>
      </c>
      <c r="F64" s="76"/>
      <c r="G64" s="76">
        <v>0</v>
      </c>
      <c r="H64" s="76"/>
      <c r="I64" s="76">
        <v>19071.349999999999</v>
      </c>
      <c r="J64" s="76"/>
      <c r="K64" s="76">
        <v>0</v>
      </c>
      <c r="L64" s="76"/>
      <c r="M64" s="76">
        <v>20984.21</v>
      </c>
      <c r="N64" s="76"/>
      <c r="O64" s="76">
        <v>48518</v>
      </c>
      <c r="P64" s="76"/>
      <c r="Q64" s="76">
        <v>38</v>
      </c>
      <c r="R64" s="76"/>
      <c r="S64" s="76">
        <v>3701.9</v>
      </c>
      <c r="T64" s="76"/>
      <c r="U64" s="76">
        <v>0</v>
      </c>
      <c r="V64" s="76"/>
      <c r="W64" s="76">
        <v>0</v>
      </c>
      <c r="X64" s="76"/>
      <c r="Y64" s="76">
        <v>0</v>
      </c>
      <c r="Z64" s="76"/>
      <c r="AA64" s="76">
        <v>0</v>
      </c>
      <c r="AB64" s="76"/>
      <c r="AC64" s="76">
        <v>0</v>
      </c>
      <c r="AD64" s="76"/>
      <c r="AE64" s="76">
        <v>0</v>
      </c>
      <c r="AF64" s="76"/>
      <c r="AG64" s="76">
        <v>0</v>
      </c>
      <c r="AH64" s="81"/>
      <c r="AI64" s="76">
        <f t="shared" si="0"/>
        <v>106364.22999999998</v>
      </c>
      <c r="AJ64" s="10"/>
    </row>
    <row r="65" spans="1:39" s="21" customFormat="1" ht="12" customHeight="1" x14ac:dyDescent="0.2">
      <c r="A65" s="1" t="s">
        <v>59</v>
      </c>
      <c r="B65" s="1"/>
      <c r="C65" s="1" t="s">
        <v>755</v>
      </c>
      <c r="D65" s="1"/>
      <c r="E65" s="76">
        <v>115205.22</v>
      </c>
      <c r="F65" s="76"/>
      <c r="G65" s="76">
        <v>0</v>
      </c>
      <c r="H65" s="76"/>
      <c r="I65" s="76">
        <v>55465.97</v>
      </c>
      <c r="J65" s="76"/>
      <c r="K65" s="76">
        <v>0</v>
      </c>
      <c r="L65" s="76"/>
      <c r="M65" s="76">
        <v>0</v>
      </c>
      <c r="N65" s="76"/>
      <c r="O65" s="76">
        <v>9015.17</v>
      </c>
      <c r="P65" s="76"/>
      <c r="Q65" s="76">
        <v>215.1</v>
      </c>
      <c r="R65" s="76"/>
      <c r="S65" s="76">
        <v>5323.83</v>
      </c>
      <c r="T65" s="76"/>
      <c r="U65" s="76">
        <v>0</v>
      </c>
      <c r="V65" s="76"/>
      <c r="W65" s="76">
        <v>0</v>
      </c>
      <c r="X65" s="76"/>
      <c r="Y65" s="76">
        <v>0</v>
      </c>
      <c r="Z65" s="76"/>
      <c r="AA65" s="76">
        <v>0</v>
      </c>
      <c r="AB65" s="76"/>
      <c r="AC65" s="76">
        <v>0</v>
      </c>
      <c r="AD65" s="76"/>
      <c r="AE65" s="76">
        <v>0</v>
      </c>
      <c r="AF65" s="76"/>
      <c r="AG65" s="76">
        <v>0</v>
      </c>
      <c r="AH65"/>
      <c r="AI65" s="76">
        <f t="shared" si="0"/>
        <v>185225.29</v>
      </c>
      <c r="AJ65" s="10"/>
      <c r="AK65" s="7"/>
      <c r="AL65" s="7"/>
      <c r="AM65" s="7"/>
    </row>
    <row r="66" spans="1:39" ht="12" customHeight="1" x14ac:dyDescent="0.2">
      <c r="A66" s="1" t="s">
        <v>296</v>
      </c>
      <c r="C66" s="1" t="s">
        <v>295</v>
      </c>
      <c r="E66" s="76">
        <v>157975.64000000001</v>
      </c>
      <c r="F66" s="76"/>
      <c r="G66" s="76">
        <v>0</v>
      </c>
      <c r="H66" s="76"/>
      <c r="I66" s="76">
        <v>133685.01</v>
      </c>
      <c r="J66" s="76"/>
      <c r="K66" s="76">
        <v>0</v>
      </c>
      <c r="L66" s="76"/>
      <c r="M66" s="76">
        <v>140965</v>
      </c>
      <c r="N66" s="76"/>
      <c r="O66" s="76">
        <v>54444.89</v>
      </c>
      <c r="P66" s="76"/>
      <c r="Q66" s="76">
        <v>12222.28</v>
      </c>
      <c r="R66" s="76"/>
      <c r="S66" s="76">
        <v>6089.87</v>
      </c>
      <c r="T66" s="76"/>
      <c r="U66" s="76">
        <v>0</v>
      </c>
      <c r="V66" s="76"/>
      <c r="W66" s="76">
        <v>0</v>
      </c>
      <c r="X66" s="76"/>
      <c r="Y66" s="76">
        <v>0</v>
      </c>
      <c r="Z66" s="76"/>
      <c r="AA66" s="76">
        <v>0</v>
      </c>
      <c r="AB66" s="76"/>
      <c r="AC66" s="76">
        <v>0</v>
      </c>
      <c r="AD66" s="76"/>
      <c r="AE66" s="76">
        <v>0</v>
      </c>
      <c r="AF66" s="76"/>
      <c r="AG66" s="76">
        <v>0</v>
      </c>
      <c r="AH66"/>
      <c r="AI66" s="76">
        <f t="shared" si="0"/>
        <v>505382.69000000006</v>
      </c>
      <c r="AJ66" s="10"/>
      <c r="AK66" s="22"/>
      <c r="AL66" s="22"/>
      <c r="AM66" s="22"/>
    </row>
    <row r="67" spans="1:39" s="21" customFormat="1" ht="12" customHeight="1" x14ac:dyDescent="0.2">
      <c r="A67" s="1" t="s">
        <v>15</v>
      </c>
      <c r="B67" s="1"/>
      <c r="C67" s="1" t="s">
        <v>741</v>
      </c>
      <c r="D67" s="1"/>
      <c r="E67" s="76">
        <v>35466.33</v>
      </c>
      <c r="F67" s="76"/>
      <c r="G67" s="76">
        <v>0</v>
      </c>
      <c r="H67" s="76"/>
      <c r="I67" s="76">
        <v>41700.29</v>
      </c>
      <c r="J67" s="76"/>
      <c r="K67" s="76">
        <v>0</v>
      </c>
      <c r="L67" s="76"/>
      <c r="M67" s="76">
        <v>1648.5</v>
      </c>
      <c r="N67" s="76"/>
      <c r="O67" s="76">
        <v>7172</v>
      </c>
      <c r="P67" s="76"/>
      <c r="Q67" s="76">
        <v>1024.2</v>
      </c>
      <c r="R67" s="76"/>
      <c r="S67" s="76">
        <v>11289.86</v>
      </c>
      <c r="T67" s="76"/>
      <c r="U67" s="76">
        <v>0</v>
      </c>
      <c r="V67" s="76"/>
      <c r="W67" s="76">
        <v>0</v>
      </c>
      <c r="X67" s="76"/>
      <c r="Y67" s="76">
        <v>0</v>
      </c>
      <c r="Z67" s="76"/>
      <c r="AA67" s="76">
        <v>0</v>
      </c>
      <c r="AB67" s="76"/>
      <c r="AC67" s="76">
        <v>7950</v>
      </c>
      <c r="AD67" s="76"/>
      <c r="AE67" s="76">
        <v>0</v>
      </c>
      <c r="AF67" s="76"/>
      <c r="AG67" s="76">
        <v>0</v>
      </c>
      <c r="AH67"/>
      <c r="AI67" s="76">
        <f t="shared" si="0"/>
        <v>106251.18</v>
      </c>
      <c r="AJ67" s="10"/>
      <c r="AK67" s="22"/>
      <c r="AL67" s="22"/>
      <c r="AM67" s="22"/>
    </row>
    <row r="68" spans="1:39" s="21" customFormat="1" ht="12" customHeight="1" x14ac:dyDescent="0.2">
      <c r="A68" s="1" t="s">
        <v>531</v>
      </c>
      <c r="B68" s="1"/>
      <c r="C68" s="1" t="s">
        <v>532</v>
      </c>
      <c r="D68" s="1"/>
      <c r="E68" s="76">
        <v>19717.38</v>
      </c>
      <c r="F68" s="76"/>
      <c r="G68" s="76">
        <v>129854.81</v>
      </c>
      <c r="H68" s="76"/>
      <c r="I68" s="76">
        <v>60037.41</v>
      </c>
      <c r="J68" s="76"/>
      <c r="K68" s="76">
        <v>0</v>
      </c>
      <c r="L68" s="76"/>
      <c r="M68" s="76">
        <v>42659</v>
      </c>
      <c r="N68" s="76"/>
      <c r="O68" s="76">
        <v>29309.19</v>
      </c>
      <c r="P68" s="76"/>
      <c r="Q68" s="76">
        <v>2544.6</v>
      </c>
      <c r="R68" s="76"/>
      <c r="S68" s="76">
        <v>748.08</v>
      </c>
      <c r="T68" s="76"/>
      <c r="U68" s="76">
        <v>0</v>
      </c>
      <c r="V68" s="76"/>
      <c r="W68" s="76">
        <v>0</v>
      </c>
      <c r="X68" s="76"/>
      <c r="Y68" s="76">
        <v>0</v>
      </c>
      <c r="Z68" s="76"/>
      <c r="AA68" s="76">
        <v>0</v>
      </c>
      <c r="AB68" s="76"/>
      <c r="AC68" s="76">
        <v>0</v>
      </c>
      <c r="AD68" s="76"/>
      <c r="AE68" s="76">
        <v>0</v>
      </c>
      <c r="AF68" s="76"/>
      <c r="AG68" s="76">
        <v>0</v>
      </c>
      <c r="AH68"/>
      <c r="AI68" s="76">
        <f t="shared" si="0"/>
        <v>284870.46999999997</v>
      </c>
      <c r="AJ68" s="10"/>
    </row>
    <row r="69" spans="1:39" ht="12" customHeight="1" x14ac:dyDescent="0.2">
      <c r="A69" s="1" t="s">
        <v>584</v>
      </c>
      <c r="C69" s="1" t="s">
        <v>585</v>
      </c>
      <c r="E69" s="76">
        <v>48027.71</v>
      </c>
      <c r="F69" s="76"/>
      <c r="G69" s="76">
        <v>290488.7</v>
      </c>
      <c r="H69" s="76"/>
      <c r="I69" s="76">
        <v>188846.74</v>
      </c>
      <c r="J69" s="76"/>
      <c r="K69" s="76">
        <v>0</v>
      </c>
      <c r="L69" s="76"/>
      <c r="M69" s="76">
        <v>131895.74</v>
      </c>
      <c r="N69" s="76"/>
      <c r="O69" s="76">
        <v>11763</v>
      </c>
      <c r="P69" s="76"/>
      <c r="Q69" s="76">
        <v>5307.53</v>
      </c>
      <c r="R69" s="76"/>
      <c r="S69" s="76">
        <v>11086.84</v>
      </c>
      <c r="T69" s="76"/>
      <c r="U69" s="76">
        <v>0</v>
      </c>
      <c r="V69" s="76"/>
      <c r="W69" s="76">
        <v>0</v>
      </c>
      <c r="X69" s="76"/>
      <c r="Y69" s="76">
        <v>0</v>
      </c>
      <c r="Z69" s="76"/>
      <c r="AA69" s="76">
        <v>0</v>
      </c>
      <c r="AB69" s="76"/>
      <c r="AC69" s="76">
        <v>20000</v>
      </c>
      <c r="AD69" s="76"/>
      <c r="AE69" s="76">
        <v>0</v>
      </c>
      <c r="AF69" s="76"/>
      <c r="AG69" s="76">
        <v>18050.18</v>
      </c>
      <c r="AH69" s="81"/>
      <c r="AI69" s="76">
        <f t="shared" si="0"/>
        <v>725466.44000000006</v>
      </c>
      <c r="AJ69" s="10"/>
    </row>
    <row r="70" spans="1:39" s="21" customFormat="1" ht="12" customHeight="1" x14ac:dyDescent="0.2">
      <c r="A70" s="1" t="s">
        <v>252</v>
      </c>
      <c r="B70" s="1"/>
      <c r="C70" s="1" t="s">
        <v>812</v>
      </c>
      <c r="D70" s="1"/>
      <c r="E70" s="76">
        <v>4518.76</v>
      </c>
      <c r="F70" s="76"/>
      <c r="G70" s="76">
        <v>0</v>
      </c>
      <c r="H70" s="76"/>
      <c r="I70" s="76">
        <v>9491.4500000000007</v>
      </c>
      <c r="J70" s="76"/>
      <c r="K70" s="76">
        <v>0</v>
      </c>
      <c r="L70" s="76"/>
      <c r="M70" s="76">
        <v>0</v>
      </c>
      <c r="N70" s="76"/>
      <c r="O70" s="76">
        <v>2327</v>
      </c>
      <c r="P70" s="76"/>
      <c r="Q70" s="76">
        <v>590.05999999999995</v>
      </c>
      <c r="R70" s="76"/>
      <c r="S70" s="76">
        <v>2220.84</v>
      </c>
      <c r="T70" s="76"/>
      <c r="U70" s="76">
        <v>0</v>
      </c>
      <c r="V70" s="76"/>
      <c r="W70" s="76">
        <v>0</v>
      </c>
      <c r="X70" s="76"/>
      <c r="Y70" s="76">
        <v>0</v>
      </c>
      <c r="Z70" s="76"/>
      <c r="AA70" s="76">
        <v>0</v>
      </c>
      <c r="AB70" s="76"/>
      <c r="AC70" s="76">
        <v>0</v>
      </c>
      <c r="AD70" s="76"/>
      <c r="AE70" s="76">
        <v>0</v>
      </c>
      <c r="AF70" s="76"/>
      <c r="AG70" s="76">
        <v>0</v>
      </c>
      <c r="AH70" s="81"/>
      <c r="AI70" s="76">
        <f t="shared" si="0"/>
        <v>19148.11</v>
      </c>
      <c r="AJ70" s="10"/>
      <c r="AK70" s="1"/>
      <c r="AL70" s="1"/>
      <c r="AM70" s="1"/>
    </row>
    <row r="71" spans="1:39" ht="12" customHeight="1" x14ac:dyDescent="0.2">
      <c r="A71" s="1" t="s">
        <v>910</v>
      </c>
      <c r="C71" s="1" t="s">
        <v>299</v>
      </c>
      <c r="E71" s="76">
        <v>512335</v>
      </c>
      <c r="F71" s="76"/>
      <c r="G71" s="76">
        <v>0</v>
      </c>
      <c r="H71" s="76"/>
      <c r="I71" s="76">
        <v>193709</v>
      </c>
      <c r="J71" s="76"/>
      <c r="K71" s="76">
        <v>669</v>
      </c>
      <c r="L71" s="76"/>
      <c r="M71" s="76">
        <v>4710</v>
      </c>
      <c r="N71" s="76"/>
      <c r="O71" s="76">
        <v>49748</v>
      </c>
      <c r="P71" s="76"/>
      <c r="Q71" s="76">
        <v>110787</v>
      </c>
      <c r="R71" s="76"/>
      <c r="S71" s="76">
        <v>17700</v>
      </c>
      <c r="T71" s="76"/>
      <c r="U71" s="76">
        <v>0</v>
      </c>
      <c r="V71" s="76"/>
      <c r="W71" s="76">
        <v>0</v>
      </c>
      <c r="X71" s="76"/>
      <c r="Y71" s="76">
        <v>0</v>
      </c>
      <c r="Z71" s="76"/>
      <c r="AA71" s="76">
        <v>0</v>
      </c>
      <c r="AB71" s="76"/>
      <c r="AC71" s="76">
        <v>0</v>
      </c>
      <c r="AD71" s="76"/>
      <c r="AE71" s="76">
        <v>0</v>
      </c>
      <c r="AF71" s="76"/>
      <c r="AG71" s="76">
        <v>0</v>
      </c>
      <c r="AH71" s="76"/>
      <c r="AI71" s="76">
        <f t="shared" si="0"/>
        <v>889658</v>
      </c>
      <c r="AJ71" s="10"/>
    </row>
    <row r="72" spans="1:39" ht="12" customHeight="1" x14ac:dyDescent="0.2">
      <c r="A72" s="1" t="s">
        <v>602</v>
      </c>
      <c r="C72" s="1" t="s">
        <v>601</v>
      </c>
      <c r="E72" s="76">
        <v>28444</v>
      </c>
      <c r="F72" s="76"/>
      <c r="G72" s="76">
        <v>74342</v>
      </c>
      <c r="H72" s="76"/>
      <c r="I72" s="76">
        <v>58794</v>
      </c>
      <c r="J72" s="76"/>
      <c r="K72" s="76">
        <v>0</v>
      </c>
      <c r="L72" s="76"/>
      <c r="M72" s="76">
        <v>42846</v>
      </c>
      <c r="N72" s="76"/>
      <c r="O72" s="76">
        <v>500</v>
      </c>
      <c r="P72" s="76"/>
      <c r="Q72" s="76">
        <v>501</v>
      </c>
      <c r="R72" s="76"/>
      <c r="S72" s="76">
        <v>11047</v>
      </c>
      <c r="T72" s="76"/>
      <c r="U72" s="76">
        <v>0</v>
      </c>
      <c r="V72" s="76"/>
      <c r="W72" s="76">
        <v>0</v>
      </c>
      <c r="X72" s="76"/>
      <c r="Y72" s="76">
        <v>0</v>
      </c>
      <c r="Z72" s="76"/>
      <c r="AA72" s="76">
        <v>0</v>
      </c>
      <c r="AB72" s="76"/>
      <c r="AC72" s="76">
        <v>0</v>
      </c>
      <c r="AD72" s="76"/>
      <c r="AE72" s="76">
        <v>0</v>
      </c>
      <c r="AF72" s="76"/>
      <c r="AG72" s="76">
        <v>0</v>
      </c>
      <c r="AH72" s="76"/>
      <c r="AI72" s="76">
        <f t="shared" si="0"/>
        <v>216474</v>
      </c>
      <c r="AJ72" s="10"/>
      <c r="AK72" s="21"/>
      <c r="AL72" s="21"/>
      <c r="AM72" s="21"/>
    </row>
    <row r="73" spans="1:39" s="21" customFormat="1" ht="12" customHeight="1" x14ac:dyDescent="0.2">
      <c r="A73" s="1" t="s">
        <v>68</v>
      </c>
      <c r="B73" s="1"/>
      <c r="C73" s="1" t="s">
        <v>757</v>
      </c>
      <c r="D73" s="1"/>
      <c r="E73" s="76">
        <v>51243.32</v>
      </c>
      <c r="F73" s="76"/>
      <c r="G73" s="76">
        <v>0</v>
      </c>
      <c r="H73" s="76"/>
      <c r="I73" s="76">
        <v>25971.62</v>
      </c>
      <c r="J73" s="76"/>
      <c r="K73" s="76">
        <v>0</v>
      </c>
      <c r="L73" s="76"/>
      <c r="M73" s="76">
        <v>8845.36</v>
      </c>
      <c r="N73" s="76"/>
      <c r="O73" s="76">
        <v>3699.66</v>
      </c>
      <c r="P73" s="76"/>
      <c r="Q73" s="76">
        <v>1244.68</v>
      </c>
      <c r="R73" s="76"/>
      <c r="S73" s="76">
        <v>8671.65</v>
      </c>
      <c r="T73" s="76"/>
      <c r="U73" s="76">
        <v>0</v>
      </c>
      <c r="V73" s="76"/>
      <c r="W73" s="76">
        <v>0</v>
      </c>
      <c r="X73" s="76"/>
      <c r="Y73" s="76">
        <v>0</v>
      </c>
      <c r="Z73" s="76"/>
      <c r="AA73" s="76">
        <v>0</v>
      </c>
      <c r="AB73" s="76"/>
      <c r="AC73" s="76">
        <v>0</v>
      </c>
      <c r="AD73" s="76"/>
      <c r="AE73" s="76">
        <v>0</v>
      </c>
      <c r="AF73" s="76"/>
      <c r="AG73" s="76">
        <v>0</v>
      </c>
      <c r="AH73"/>
      <c r="AI73" s="76">
        <f t="shared" ref="AI73:AI139" si="1">SUM(E73:AG73)</f>
        <v>99676.29</v>
      </c>
      <c r="AJ73" s="10"/>
      <c r="AK73" s="22"/>
      <c r="AL73" s="22"/>
      <c r="AM73" s="22"/>
    </row>
    <row r="74" spans="1:39" ht="12" customHeight="1" x14ac:dyDescent="0.2">
      <c r="A74" s="1" t="s">
        <v>115</v>
      </c>
      <c r="C74" s="1" t="s">
        <v>770</v>
      </c>
      <c r="E74" s="76">
        <v>2057.5700000000002</v>
      </c>
      <c r="F74" s="76"/>
      <c r="G74" s="76">
        <v>5340.61</v>
      </c>
      <c r="H74" s="76"/>
      <c r="I74" s="76">
        <v>13155.07</v>
      </c>
      <c r="J74" s="76"/>
      <c r="K74" s="76">
        <v>0</v>
      </c>
      <c r="L74" s="76"/>
      <c r="M74" s="76">
        <v>10</v>
      </c>
      <c r="N74" s="76"/>
      <c r="O74" s="76">
        <v>705.16</v>
      </c>
      <c r="P74" s="76"/>
      <c r="Q74" s="76">
        <v>0</v>
      </c>
      <c r="R74" s="76"/>
      <c r="S74" s="76">
        <v>8139.7</v>
      </c>
      <c r="T74" s="76"/>
      <c r="U74" s="76">
        <v>0</v>
      </c>
      <c r="V74" s="76"/>
      <c r="W74" s="76">
        <v>0</v>
      </c>
      <c r="X74" s="76"/>
      <c r="Y74" s="76">
        <v>0</v>
      </c>
      <c r="Z74" s="76"/>
      <c r="AA74" s="76">
        <v>0</v>
      </c>
      <c r="AB74" s="76"/>
      <c r="AC74" s="76">
        <v>0</v>
      </c>
      <c r="AD74" s="76"/>
      <c r="AE74" s="76">
        <v>0</v>
      </c>
      <c r="AF74" s="76"/>
      <c r="AG74" s="76">
        <v>0</v>
      </c>
      <c r="AH74" s="81"/>
      <c r="AI74" s="76">
        <f t="shared" si="1"/>
        <v>29408.11</v>
      </c>
      <c r="AJ74" s="10"/>
      <c r="AK74" s="21"/>
      <c r="AL74" s="21"/>
      <c r="AM74" s="21"/>
    </row>
    <row r="75" spans="1:39" s="21" customFormat="1" ht="12" customHeight="1" x14ac:dyDescent="0.2">
      <c r="A75" s="1" t="s">
        <v>533</v>
      </c>
      <c r="B75" s="1"/>
      <c r="C75" s="1" t="s">
        <v>532</v>
      </c>
      <c r="D75" s="1"/>
      <c r="E75" s="76">
        <v>34747</v>
      </c>
      <c r="F75" s="76"/>
      <c r="G75" s="76">
        <v>0</v>
      </c>
      <c r="H75" s="76"/>
      <c r="I75" s="76">
        <v>57094</v>
      </c>
      <c r="J75" s="76"/>
      <c r="K75" s="76">
        <v>0</v>
      </c>
      <c r="L75" s="76"/>
      <c r="M75" s="76">
        <v>7706</v>
      </c>
      <c r="N75" s="76"/>
      <c r="O75" s="76">
        <v>6290</v>
      </c>
      <c r="P75" s="76"/>
      <c r="Q75" s="76">
        <v>108</v>
      </c>
      <c r="R75" s="76"/>
      <c r="S75" s="76">
        <v>1264</v>
      </c>
      <c r="T75" s="76"/>
      <c r="U75" s="76">
        <v>0</v>
      </c>
      <c r="V75" s="76"/>
      <c r="W75" s="76">
        <v>0</v>
      </c>
      <c r="X75" s="76"/>
      <c r="Y75" s="76">
        <v>1500</v>
      </c>
      <c r="Z75" s="76"/>
      <c r="AA75" s="76">
        <v>0</v>
      </c>
      <c r="AB75" s="76"/>
      <c r="AC75" s="76">
        <v>0</v>
      </c>
      <c r="AD75" s="76"/>
      <c r="AE75" s="76">
        <v>0</v>
      </c>
      <c r="AF75" s="76"/>
      <c r="AG75" s="76">
        <v>0</v>
      </c>
      <c r="AH75" s="76"/>
      <c r="AI75" s="76">
        <f t="shared" si="1"/>
        <v>108709</v>
      </c>
      <c r="AJ75" s="10"/>
      <c r="AK75" s="1"/>
      <c r="AL75" s="1"/>
      <c r="AM75" s="1"/>
    </row>
    <row r="76" spans="1:39" s="21" customFormat="1" ht="12" hidden="1" customHeight="1" x14ac:dyDescent="0.2">
      <c r="A76" s="1" t="s">
        <v>682</v>
      </c>
      <c r="B76" s="1"/>
      <c r="C76" s="1" t="s">
        <v>703</v>
      </c>
      <c r="D76" s="1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>
        <f t="shared" si="1"/>
        <v>0</v>
      </c>
      <c r="AJ76" s="10"/>
      <c r="AK76" s="1"/>
      <c r="AL76" s="1"/>
      <c r="AM76" s="1"/>
    </row>
    <row r="77" spans="1:39" ht="12" customHeight="1" x14ac:dyDescent="0.2">
      <c r="A77" s="1" t="s">
        <v>562</v>
      </c>
      <c r="C77" s="1" t="s">
        <v>560</v>
      </c>
      <c r="E77" s="76">
        <v>48461.24</v>
      </c>
      <c r="F77" s="76"/>
      <c r="G77" s="76">
        <v>0</v>
      </c>
      <c r="H77" s="76"/>
      <c r="I77" s="76">
        <v>29543.93</v>
      </c>
      <c r="J77" s="76"/>
      <c r="K77" s="76">
        <v>0</v>
      </c>
      <c r="L77" s="76"/>
      <c r="M77" s="76">
        <v>50529.63</v>
      </c>
      <c r="N77" s="76"/>
      <c r="O77" s="76">
        <v>15611.27</v>
      </c>
      <c r="P77" s="76"/>
      <c r="Q77" s="76">
        <v>125.63</v>
      </c>
      <c r="R77" s="76"/>
      <c r="S77" s="76">
        <v>1000629.21</v>
      </c>
      <c r="T77" s="76"/>
      <c r="U77" s="76">
        <v>0</v>
      </c>
      <c r="V77" s="76"/>
      <c r="W77" s="76">
        <v>0</v>
      </c>
      <c r="X77" s="76"/>
      <c r="Y77" s="76">
        <v>0</v>
      </c>
      <c r="Z77" s="76"/>
      <c r="AA77" s="76">
        <v>49057.99</v>
      </c>
      <c r="AB77" s="76"/>
      <c r="AC77" s="76">
        <v>0</v>
      </c>
      <c r="AD77" s="76"/>
      <c r="AE77" s="76">
        <v>559.54</v>
      </c>
      <c r="AF77" s="76"/>
      <c r="AG77" s="76">
        <v>0</v>
      </c>
      <c r="AH77"/>
      <c r="AI77" s="76">
        <f t="shared" si="1"/>
        <v>1194518.44</v>
      </c>
      <c r="AJ77" s="10"/>
      <c r="AK77" s="21"/>
      <c r="AL77" s="21"/>
      <c r="AM77" s="21"/>
    </row>
    <row r="78" spans="1:39" ht="12" hidden="1" customHeight="1" x14ac:dyDescent="0.2">
      <c r="A78" s="1" t="s">
        <v>548</v>
      </c>
      <c r="C78" s="1" t="s">
        <v>549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/>
      <c r="AI78" s="76">
        <f t="shared" si="1"/>
        <v>0</v>
      </c>
      <c r="AJ78" s="10"/>
      <c r="AK78" s="21"/>
      <c r="AL78" s="21"/>
      <c r="AM78" s="21"/>
    </row>
    <row r="79" spans="1:39" s="15" customFormat="1" ht="12" customHeight="1" x14ac:dyDescent="0.2">
      <c r="A79" s="1" t="s">
        <v>535</v>
      </c>
      <c r="B79" s="1"/>
      <c r="C79" s="1" t="s">
        <v>536</v>
      </c>
      <c r="D79" s="1"/>
      <c r="E79" s="76">
        <v>37396</v>
      </c>
      <c r="F79" s="76"/>
      <c r="G79" s="76">
        <v>392364</v>
      </c>
      <c r="H79" s="76"/>
      <c r="I79" s="76">
        <v>48375</v>
      </c>
      <c r="J79" s="76"/>
      <c r="K79" s="76">
        <v>207</v>
      </c>
      <c r="L79" s="76"/>
      <c r="M79" s="76">
        <v>32167</v>
      </c>
      <c r="N79" s="76"/>
      <c r="O79" s="76">
        <v>13260</v>
      </c>
      <c r="P79" s="76"/>
      <c r="Q79" s="76">
        <v>6440</v>
      </c>
      <c r="R79" s="76"/>
      <c r="S79" s="76">
        <v>85692</v>
      </c>
      <c r="T79" s="76"/>
      <c r="U79" s="76">
        <v>0</v>
      </c>
      <c r="V79" s="76"/>
      <c r="W79" s="76">
        <v>0</v>
      </c>
      <c r="X79" s="76"/>
      <c r="Y79" s="76">
        <v>0</v>
      </c>
      <c r="Z79" s="76"/>
      <c r="AA79" s="76">
        <v>0</v>
      </c>
      <c r="AB79" s="76"/>
      <c r="AC79" s="76">
        <v>0</v>
      </c>
      <c r="AD79" s="76"/>
      <c r="AE79" s="76">
        <v>0</v>
      </c>
      <c r="AF79" s="76"/>
      <c r="AG79" s="76">
        <v>0</v>
      </c>
      <c r="AH79" s="76"/>
      <c r="AI79" s="76">
        <f t="shared" si="1"/>
        <v>615901</v>
      </c>
      <c r="AJ79" s="10"/>
      <c r="AK79" s="21"/>
      <c r="AL79" s="21"/>
      <c r="AM79" s="21"/>
    </row>
    <row r="80" spans="1:39" s="15" customFormat="1" ht="12" customHeight="1" x14ac:dyDescent="0.2">
      <c r="A80" s="1"/>
      <c r="B80" s="1"/>
      <c r="C80" s="1"/>
      <c r="D80" s="1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10"/>
      <c r="AK80" s="21"/>
      <c r="AL80" s="21"/>
      <c r="AM80" s="21"/>
    </row>
    <row r="81" spans="1:39" s="15" customFormat="1" ht="12" customHeight="1" x14ac:dyDescent="0.2">
      <c r="A81" s="1"/>
      <c r="B81" s="1"/>
      <c r="C81" s="1"/>
      <c r="D81" s="1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 t="s">
        <v>850</v>
      </c>
      <c r="AJ81" s="10"/>
      <c r="AK81" s="21"/>
      <c r="AL81" s="21"/>
      <c r="AM81" s="21"/>
    </row>
    <row r="82" spans="1:39" s="15" customFormat="1" ht="12" customHeight="1" x14ac:dyDescent="0.2">
      <c r="A82" s="1"/>
      <c r="B82" s="1"/>
      <c r="C82" s="1"/>
      <c r="D82" s="1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10"/>
      <c r="AK82" s="21"/>
      <c r="AL82" s="21"/>
      <c r="AM82" s="21"/>
    </row>
    <row r="83" spans="1:39" s="15" customFormat="1" ht="12" customHeight="1" x14ac:dyDescent="0.2">
      <c r="A83" s="1" t="s">
        <v>402</v>
      </c>
      <c r="B83" s="1"/>
      <c r="C83" s="1" t="s">
        <v>403</v>
      </c>
      <c r="D83" s="1"/>
      <c r="E83" s="88">
        <v>5955.57</v>
      </c>
      <c r="F83" s="88"/>
      <c r="G83" s="88">
        <v>52797.31</v>
      </c>
      <c r="H83" s="88"/>
      <c r="I83" s="88">
        <v>78131.759999999995</v>
      </c>
      <c r="J83" s="88"/>
      <c r="K83" s="88">
        <v>0</v>
      </c>
      <c r="L83" s="88"/>
      <c r="M83" s="88">
        <v>0</v>
      </c>
      <c r="N83" s="88"/>
      <c r="O83" s="88">
        <v>1240.52</v>
      </c>
      <c r="P83" s="88"/>
      <c r="Q83" s="88">
        <v>183.89</v>
      </c>
      <c r="R83" s="88"/>
      <c r="S83" s="88">
        <v>7917.86</v>
      </c>
      <c r="T83" s="88"/>
      <c r="U83" s="88">
        <v>0</v>
      </c>
      <c r="V83" s="88"/>
      <c r="W83" s="88">
        <v>0</v>
      </c>
      <c r="X83" s="88"/>
      <c r="Y83" s="88">
        <v>0</v>
      </c>
      <c r="Z83" s="88"/>
      <c r="AA83" s="88">
        <v>0</v>
      </c>
      <c r="AB83" s="88"/>
      <c r="AC83" s="88">
        <v>0</v>
      </c>
      <c r="AD83" s="88"/>
      <c r="AE83" s="88">
        <v>0</v>
      </c>
      <c r="AF83" s="88"/>
      <c r="AG83" s="88">
        <v>82013.5</v>
      </c>
      <c r="AH83" s="88"/>
      <c r="AI83" s="88">
        <f t="shared" si="1"/>
        <v>228240.40999999997</v>
      </c>
      <c r="AJ83" s="10"/>
      <c r="AK83" s="21"/>
      <c r="AL83" s="21"/>
      <c r="AM83" s="21"/>
    </row>
    <row r="84" spans="1:39" ht="12" customHeight="1" x14ac:dyDescent="0.2">
      <c r="A84" s="1" t="s">
        <v>83</v>
      </c>
      <c r="C84" s="1" t="s">
        <v>761</v>
      </c>
      <c r="E84" s="76">
        <v>26094.87</v>
      </c>
      <c r="F84" s="76"/>
      <c r="G84" s="76">
        <v>0</v>
      </c>
      <c r="H84" s="76"/>
      <c r="I84" s="76">
        <v>5607.61</v>
      </c>
      <c r="J84" s="76"/>
      <c r="K84" s="76">
        <v>0</v>
      </c>
      <c r="L84" s="76"/>
      <c r="M84" s="76">
        <v>75</v>
      </c>
      <c r="N84" s="76"/>
      <c r="O84" s="76">
        <v>0</v>
      </c>
      <c r="P84" s="76"/>
      <c r="Q84" s="76">
        <v>32.26</v>
      </c>
      <c r="R84" s="76"/>
      <c r="S84" s="76">
        <v>354.4</v>
      </c>
      <c r="T84" s="76"/>
      <c r="U84" s="76">
        <v>0</v>
      </c>
      <c r="V84" s="76"/>
      <c r="W84" s="76">
        <v>0</v>
      </c>
      <c r="X84" s="76"/>
      <c r="Y84" s="76">
        <v>0</v>
      </c>
      <c r="Z84" s="76"/>
      <c r="AA84" s="76">
        <v>0</v>
      </c>
      <c r="AB84" s="76"/>
      <c r="AC84" s="76">
        <v>0</v>
      </c>
      <c r="AD84" s="76"/>
      <c r="AE84" s="76">
        <v>0</v>
      </c>
      <c r="AF84" s="76"/>
      <c r="AG84" s="76">
        <v>0</v>
      </c>
      <c r="AH84"/>
      <c r="AI84" s="76">
        <f t="shared" si="1"/>
        <v>32164.14</v>
      </c>
      <c r="AJ84" s="10"/>
      <c r="AK84" s="21"/>
      <c r="AL84" s="21"/>
      <c r="AM84" s="21"/>
    </row>
    <row r="85" spans="1:39" s="21" customFormat="1" ht="12" customHeight="1" x14ac:dyDescent="0.2">
      <c r="A85" s="1" t="s">
        <v>469</v>
      </c>
      <c r="B85" s="1"/>
      <c r="C85" s="1" t="s">
        <v>902</v>
      </c>
      <c r="D85" s="1"/>
      <c r="E85" s="76">
        <v>23767</v>
      </c>
      <c r="F85" s="76"/>
      <c r="G85" s="76">
        <v>143056</v>
      </c>
      <c r="H85" s="76"/>
      <c r="I85" s="76">
        <v>85158</v>
      </c>
      <c r="J85" s="76"/>
      <c r="K85" s="76">
        <v>0</v>
      </c>
      <c r="L85" s="76"/>
      <c r="M85" s="76">
        <v>0</v>
      </c>
      <c r="N85" s="76"/>
      <c r="O85" s="76">
        <v>19585</v>
      </c>
      <c r="P85" s="76"/>
      <c r="Q85" s="76">
        <v>1987</v>
      </c>
      <c r="R85" s="76"/>
      <c r="S85" s="76">
        <v>2689</v>
      </c>
      <c r="T85" s="76"/>
      <c r="U85" s="76">
        <v>0</v>
      </c>
      <c r="V85" s="76"/>
      <c r="W85" s="76">
        <v>0</v>
      </c>
      <c r="X85" s="76"/>
      <c r="Y85" s="76">
        <v>0</v>
      </c>
      <c r="Z85" s="76"/>
      <c r="AA85" s="76">
        <v>0</v>
      </c>
      <c r="AB85" s="76"/>
      <c r="AC85" s="76">
        <v>0</v>
      </c>
      <c r="AD85" s="76"/>
      <c r="AE85" s="76">
        <v>0</v>
      </c>
      <c r="AF85" s="76"/>
      <c r="AG85" s="76">
        <v>0</v>
      </c>
      <c r="AH85" s="76"/>
      <c r="AI85" s="76">
        <f t="shared" si="1"/>
        <v>276242</v>
      </c>
      <c r="AJ85" s="10"/>
      <c r="AK85" s="1"/>
      <c r="AL85" s="1"/>
      <c r="AM85" s="1"/>
    </row>
    <row r="86" spans="1:39" s="21" customFormat="1" ht="12" customHeight="1" x14ac:dyDescent="0.2">
      <c r="A86" s="1" t="s">
        <v>603</v>
      </c>
      <c r="B86" s="1"/>
      <c r="C86" s="1" t="s">
        <v>601</v>
      </c>
      <c r="D86" s="1"/>
      <c r="E86" s="76">
        <v>31405</v>
      </c>
      <c r="F86" s="76"/>
      <c r="G86" s="76">
        <v>70290</v>
      </c>
      <c r="H86" s="76"/>
      <c r="I86" s="76">
        <v>62134</v>
      </c>
      <c r="J86" s="76"/>
      <c r="K86" s="76">
        <v>0</v>
      </c>
      <c r="L86" s="76"/>
      <c r="M86" s="76">
        <v>24296</v>
      </c>
      <c r="N86" s="76"/>
      <c r="O86" s="76">
        <v>18815</v>
      </c>
      <c r="P86" s="76"/>
      <c r="Q86" s="76">
        <v>3265</v>
      </c>
      <c r="R86" s="76"/>
      <c r="S86" s="76">
        <v>2243</v>
      </c>
      <c r="T86" s="76"/>
      <c r="U86" s="76">
        <v>0</v>
      </c>
      <c r="V86" s="76"/>
      <c r="W86" s="76">
        <v>0</v>
      </c>
      <c r="X86" s="76"/>
      <c r="Y86" s="76">
        <v>0</v>
      </c>
      <c r="Z86" s="76"/>
      <c r="AA86" s="76">
        <v>0</v>
      </c>
      <c r="AB86" s="76"/>
      <c r="AC86" s="76">
        <v>0</v>
      </c>
      <c r="AD86" s="76"/>
      <c r="AE86" s="76">
        <v>0</v>
      </c>
      <c r="AF86" s="76"/>
      <c r="AG86" s="76">
        <v>0</v>
      </c>
      <c r="AH86" s="76"/>
      <c r="AI86" s="76">
        <f t="shared" si="1"/>
        <v>212448</v>
      </c>
      <c r="AJ86" s="10"/>
    </row>
    <row r="87" spans="1:39" s="21" customFormat="1" ht="12" hidden="1" customHeight="1" x14ac:dyDescent="0.2">
      <c r="A87" s="1" t="s">
        <v>880</v>
      </c>
      <c r="B87" s="1"/>
      <c r="C87" s="1" t="s">
        <v>259</v>
      </c>
      <c r="D87" s="1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>
        <f t="shared" si="1"/>
        <v>0</v>
      </c>
      <c r="AJ87" s="10"/>
    </row>
    <row r="88" spans="1:39" s="21" customFormat="1" ht="12" customHeight="1" x14ac:dyDescent="0.2">
      <c r="A88" s="1" t="s">
        <v>317</v>
      </c>
      <c r="B88" s="1"/>
      <c r="C88" s="1" t="s">
        <v>751</v>
      </c>
      <c r="D88" s="1"/>
      <c r="E88" s="76">
        <v>1023521.83</v>
      </c>
      <c r="F88" s="76"/>
      <c r="G88" s="76">
        <v>1560941.87</v>
      </c>
      <c r="H88" s="76"/>
      <c r="I88" s="76">
        <v>351624.11</v>
      </c>
      <c r="J88" s="76"/>
      <c r="K88" s="76">
        <v>0</v>
      </c>
      <c r="L88" s="76"/>
      <c r="M88" s="76">
        <v>0</v>
      </c>
      <c r="N88" s="76"/>
      <c r="O88" s="76">
        <v>497396.54</v>
      </c>
      <c r="P88" s="76"/>
      <c r="Q88" s="76">
        <v>561.03</v>
      </c>
      <c r="R88" s="76"/>
      <c r="S88" s="76">
        <v>20060.060000000001</v>
      </c>
      <c r="T88" s="76"/>
      <c r="U88" s="76">
        <v>0</v>
      </c>
      <c r="V88" s="76"/>
      <c r="W88" s="76">
        <v>0</v>
      </c>
      <c r="X88" s="76"/>
      <c r="Y88" s="76">
        <v>0</v>
      </c>
      <c r="Z88" s="76"/>
      <c r="AA88" s="76">
        <v>0</v>
      </c>
      <c r="AB88" s="76"/>
      <c r="AC88" s="76">
        <v>0</v>
      </c>
      <c r="AD88" s="76"/>
      <c r="AE88" s="76">
        <v>0</v>
      </c>
      <c r="AF88" s="76"/>
      <c r="AG88" s="76">
        <v>0</v>
      </c>
      <c r="AH88"/>
      <c r="AI88" s="76">
        <f t="shared" si="1"/>
        <v>3454105.44</v>
      </c>
      <c r="AJ88" s="10"/>
      <c r="AK88" s="22"/>
      <c r="AL88" s="22"/>
      <c r="AM88" s="22"/>
    </row>
    <row r="89" spans="1:39" ht="12" customHeight="1" x14ac:dyDescent="0.2">
      <c r="A89" s="1" t="s">
        <v>61</v>
      </c>
      <c r="C89" s="1" t="s">
        <v>756</v>
      </c>
      <c r="E89" s="76">
        <v>43534.12</v>
      </c>
      <c r="F89" s="76"/>
      <c r="G89" s="76">
        <v>393380.9</v>
      </c>
      <c r="H89" s="76"/>
      <c r="I89" s="76">
        <v>23591.17</v>
      </c>
      <c r="J89" s="76"/>
      <c r="K89" s="76">
        <v>0</v>
      </c>
      <c r="L89" s="76"/>
      <c r="M89" s="76">
        <v>47</v>
      </c>
      <c r="N89" s="76"/>
      <c r="O89" s="76">
        <v>8576.86</v>
      </c>
      <c r="P89" s="76"/>
      <c r="Q89" s="76">
        <v>711.92</v>
      </c>
      <c r="R89" s="76"/>
      <c r="S89" s="76">
        <v>16669.39</v>
      </c>
      <c r="T89" s="76"/>
      <c r="U89" s="76">
        <v>0</v>
      </c>
      <c r="V89" s="76"/>
      <c r="W89" s="76">
        <v>0</v>
      </c>
      <c r="X89" s="76"/>
      <c r="Y89" s="76">
        <v>0</v>
      </c>
      <c r="Z89" s="76"/>
      <c r="AA89" s="76">
        <v>0</v>
      </c>
      <c r="AB89" s="76"/>
      <c r="AC89" s="76">
        <v>0</v>
      </c>
      <c r="AD89" s="76"/>
      <c r="AE89" s="76">
        <v>0</v>
      </c>
      <c r="AF89" s="76"/>
      <c r="AG89" s="76">
        <v>0</v>
      </c>
      <c r="AH89"/>
      <c r="AI89" s="76">
        <f t="shared" si="1"/>
        <v>486511.35999999999</v>
      </c>
      <c r="AJ89" s="10"/>
      <c r="AK89" s="7"/>
      <c r="AL89" s="7"/>
      <c r="AM89" s="7"/>
    </row>
    <row r="90" spans="1:39" ht="12" customHeight="1" x14ac:dyDescent="0.2">
      <c r="A90" s="1" t="s">
        <v>541</v>
      </c>
      <c r="C90" s="1" t="s">
        <v>540</v>
      </c>
      <c r="E90" s="76">
        <v>74330</v>
      </c>
      <c r="F90" s="76"/>
      <c r="G90" s="76">
        <v>698527</v>
      </c>
      <c r="H90" s="76"/>
      <c r="I90" s="76">
        <v>91830</v>
      </c>
      <c r="J90" s="76"/>
      <c r="K90" s="76">
        <v>8126</v>
      </c>
      <c r="L90" s="76"/>
      <c r="M90" s="76">
        <v>0</v>
      </c>
      <c r="N90" s="76"/>
      <c r="O90" s="76">
        <v>4765</v>
      </c>
      <c r="P90" s="76"/>
      <c r="Q90" s="76">
        <v>3978</v>
      </c>
      <c r="R90" s="76"/>
      <c r="S90" s="76">
        <v>12572</v>
      </c>
      <c r="T90" s="76"/>
      <c r="U90" s="76">
        <v>0</v>
      </c>
      <c r="V90" s="76"/>
      <c r="W90" s="76">
        <v>0</v>
      </c>
      <c r="X90" s="76"/>
      <c r="Y90" s="76">
        <v>329</v>
      </c>
      <c r="Z90" s="76"/>
      <c r="AA90" s="76">
        <v>1000</v>
      </c>
      <c r="AB90" s="76"/>
      <c r="AC90" s="76">
        <v>0</v>
      </c>
      <c r="AD90" s="76"/>
      <c r="AE90" s="76">
        <v>132</v>
      </c>
      <c r="AF90" s="76"/>
      <c r="AG90" s="76">
        <v>0</v>
      </c>
      <c r="AH90" s="82"/>
      <c r="AI90" s="76">
        <f t="shared" si="1"/>
        <v>895589</v>
      </c>
      <c r="AJ90" s="10"/>
      <c r="AK90" s="21"/>
      <c r="AL90" s="21"/>
      <c r="AM90" s="21"/>
    </row>
    <row r="91" spans="1:39" ht="12" customHeight="1" x14ac:dyDescent="0.2">
      <c r="A91" s="15" t="s">
        <v>72</v>
      </c>
      <c r="B91" s="15"/>
      <c r="C91" s="15" t="s">
        <v>758</v>
      </c>
      <c r="D91" s="15"/>
      <c r="E91" s="76">
        <v>6821.06</v>
      </c>
      <c r="F91" s="76"/>
      <c r="G91" s="76">
        <v>30332.43</v>
      </c>
      <c r="H91" s="76"/>
      <c r="I91" s="76">
        <v>8129.98</v>
      </c>
      <c r="J91" s="76"/>
      <c r="K91" s="76">
        <v>0</v>
      </c>
      <c r="L91" s="76"/>
      <c r="M91" s="76">
        <v>0</v>
      </c>
      <c r="N91" s="76"/>
      <c r="O91" s="76">
        <v>94248.34</v>
      </c>
      <c r="P91" s="76"/>
      <c r="Q91" s="76">
        <v>7.07</v>
      </c>
      <c r="R91" s="76"/>
      <c r="S91" s="76">
        <v>17806.96</v>
      </c>
      <c r="T91" s="76"/>
      <c r="U91" s="76">
        <v>0</v>
      </c>
      <c r="V91" s="76"/>
      <c r="W91" s="76">
        <v>0</v>
      </c>
      <c r="X91" s="76"/>
      <c r="Y91" s="76">
        <v>0</v>
      </c>
      <c r="Z91" s="76"/>
      <c r="AA91" s="76">
        <v>0</v>
      </c>
      <c r="AB91" s="76"/>
      <c r="AC91" s="76">
        <v>0</v>
      </c>
      <c r="AD91" s="76"/>
      <c r="AE91" s="76">
        <v>476.69</v>
      </c>
      <c r="AF91" s="76"/>
      <c r="AG91" s="76">
        <v>0</v>
      </c>
      <c r="AH91"/>
      <c r="AI91" s="76">
        <f t="shared" si="1"/>
        <v>157822.53</v>
      </c>
      <c r="AJ91" s="24"/>
      <c r="AK91" s="30"/>
      <c r="AL91" s="30"/>
      <c r="AM91" s="30"/>
    </row>
    <row r="92" spans="1:39" s="21" customFormat="1" ht="12" customHeight="1" x14ac:dyDescent="0.2">
      <c r="A92" s="1" t="s">
        <v>281</v>
      </c>
      <c r="B92" s="1"/>
      <c r="C92" s="1" t="s">
        <v>279</v>
      </c>
      <c r="D92" s="1"/>
      <c r="E92" s="76">
        <v>212064.15</v>
      </c>
      <c r="F92" s="76"/>
      <c r="G92" s="76">
        <v>0</v>
      </c>
      <c r="H92" s="76"/>
      <c r="I92" s="76">
        <v>71079.28</v>
      </c>
      <c r="J92" s="76"/>
      <c r="K92" s="76">
        <v>0</v>
      </c>
      <c r="L92" s="76"/>
      <c r="M92" s="76">
        <v>212992.51</v>
      </c>
      <c r="N92" s="76"/>
      <c r="O92" s="76">
        <v>91752.95</v>
      </c>
      <c r="P92" s="76"/>
      <c r="Q92" s="76">
        <v>235.11</v>
      </c>
      <c r="R92" s="76"/>
      <c r="S92" s="76">
        <v>53744.04</v>
      </c>
      <c r="T92" s="76"/>
      <c r="U92" s="76">
        <v>0</v>
      </c>
      <c r="V92" s="76"/>
      <c r="W92" s="76">
        <v>0</v>
      </c>
      <c r="X92" s="76"/>
      <c r="Y92" s="76">
        <v>0</v>
      </c>
      <c r="Z92" s="76"/>
      <c r="AA92" s="76">
        <v>0</v>
      </c>
      <c r="AB92" s="76"/>
      <c r="AC92" s="76">
        <v>0</v>
      </c>
      <c r="AD92" s="76"/>
      <c r="AE92" s="76">
        <v>0</v>
      </c>
      <c r="AF92" s="76"/>
      <c r="AG92" s="76">
        <v>0</v>
      </c>
      <c r="AH92"/>
      <c r="AI92" s="76">
        <f t="shared" si="1"/>
        <v>641868.04</v>
      </c>
      <c r="AJ92" s="10"/>
      <c r="AK92" s="22"/>
      <c r="AL92" s="22"/>
      <c r="AM92" s="22"/>
    </row>
    <row r="93" spans="1:39" ht="12" customHeight="1" x14ac:dyDescent="0.2">
      <c r="A93" s="1" t="s">
        <v>318</v>
      </c>
      <c r="C93" s="1" t="s">
        <v>316</v>
      </c>
      <c r="E93" s="76">
        <f>319291+45898</f>
        <v>365189</v>
      </c>
      <c r="F93" s="76"/>
      <c r="G93" s="76">
        <v>4106159</v>
      </c>
      <c r="H93" s="76"/>
      <c r="I93" s="76">
        <v>86624</v>
      </c>
      <c r="J93" s="76"/>
      <c r="K93" s="76">
        <v>0</v>
      </c>
      <c r="L93" s="76"/>
      <c r="M93" s="76">
        <v>115379</v>
      </c>
      <c r="N93" s="76"/>
      <c r="O93" s="76">
        <f>134459+5084</f>
        <v>139543</v>
      </c>
      <c r="P93" s="76"/>
      <c r="Q93" s="76">
        <v>657</v>
      </c>
      <c r="R93" s="76"/>
      <c r="S93" s="76">
        <v>15802</v>
      </c>
      <c r="T93" s="76"/>
      <c r="U93" s="76">
        <v>0</v>
      </c>
      <c r="V93" s="76"/>
      <c r="W93" s="76">
        <v>0</v>
      </c>
      <c r="X93" s="76"/>
      <c r="Y93" s="76">
        <v>0</v>
      </c>
      <c r="Z93" s="76"/>
      <c r="AA93" s="76">
        <v>0</v>
      </c>
      <c r="AB93" s="76"/>
      <c r="AC93" s="76">
        <v>0</v>
      </c>
      <c r="AD93" s="76"/>
      <c r="AE93" s="76">
        <v>10370</v>
      </c>
      <c r="AF93" s="76"/>
      <c r="AG93" s="76">
        <v>0</v>
      </c>
      <c r="AH93" s="86"/>
      <c r="AI93" s="76">
        <f t="shared" si="1"/>
        <v>4839723</v>
      </c>
      <c r="AJ93" s="10"/>
      <c r="AK93" s="7"/>
      <c r="AL93" s="7"/>
      <c r="AM93" s="7"/>
    </row>
    <row r="94" spans="1:39" ht="12" customHeight="1" x14ac:dyDescent="0.2">
      <c r="A94" s="1" t="s">
        <v>16</v>
      </c>
      <c r="C94" s="1" t="s">
        <v>741</v>
      </c>
      <c r="E94" s="76">
        <v>43168.67</v>
      </c>
      <c r="F94" s="76"/>
      <c r="G94" s="76">
        <v>0</v>
      </c>
      <c r="H94" s="76"/>
      <c r="I94" s="76">
        <v>41250.29</v>
      </c>
      <c r="J94" s="76"/>
      <c r="K94" s="76">
        <v>0</v>
      </c>
      <c r="L94" s="76"/>
      <c r="M94" s="76">
        <v>13674.44</v>
      </c>
      <c r="N94" s="76"/>
      <c r="O94" s="76">
        <v>3723</v>
      </c>
      <c r="P94" s="76"/>
      <c r="Q94" s="76">
        <v>20.09</v>
      </c>
      <c r="R94" s="76"/>
      <c r="S94" s="76">
        <v>500</v>
      </c>
      <c r="T94" s="76"/>
      <c r="U94" s="76">
        <v>0</v>
      </c>
      <c r="V94" s="76"/>
      <c r="W94" s="76">
        <v>0</v>
      </c>
      <c r="X94" s="76"/>
      <c r="Y94" s="76">
        <v>0</v>
      </c>
      <c r="Z94" s="76"/>
      <c r="AA94" s="76">
        <v>0</v>
      </c>
      <c r="AB94" s="76"/>
      <c r="AC94" s="76">
        <v>0</v>
      </c>
      <c r="AD94" s="76"/>
      <c r="AE94" s="76">
        <v>0</v>
      </c>
      <c r="AF94" s="76"/>
      <c r="AG94" s="76">
        <v>0</v>
      </c>
      <c r="AH94" s="81"/>
      <c r="AI94" s="76">
        <f t="shared" si="1"/>
        <v>102336.48999999999</v>
      </c>
      <c r="AJ94" s="10"/>
      <c r="AK94" s="22"/>
      <c r="AL94" s="22"/>
      <c r="AM94" s="22"/>
    </row>
    <row r="95" spans="1:39" ht="12" customHeight="1" x14ac:dyDescent="0.2">
      <c r="A95" s="1" t="s">
        <v>497</v>
      </c>
      <c r="C95" s="1" t="s">
        <v>496</v>
      </c>
      <c r="E95" s="76">
        <v>4599.13</v>
      </c>
      <c r="F95" s="76"/>
      <c r="G95" s="76">
        <v>0</v>
      </c>
      <c r="H95" s="76"/>
      <c r="I95" s="76">
        <v>7527.24</v>
      </c>
      <c r="J95" s="76"/>
      <c r="K95" s="76">
        <v>0</v>
      </c>
      <c r="L95" s="76"/>
      <c r="M95" s="76">
        <v>0</v>
      </c>
      <c r="N95" s="76"/>
      <c r="O95" s="76">
        <v>0</v>
      </c>
      <c r="P95" s="76"/>
      <c r="Q95" s="76">
        <v>19.79</v>
      </c>
      <c r="R95" s="76"/>
      <c r="S95" s="76">
        <v>151.11000000000001</v>
      </c>
      <c r="T95" s="76"/>
      <c r="U95" s="76">
        <v>0</v>
      </c>
      <c r="V95" s="76"/>
      <c r="W95" s="76">
        <v>0</v>
      </c>
      <c r="X95" s="76"/>
      <c r="Y95" s="76">
        <v>0</v>
      </c>
      <c r="Z95" s="76"/>
      <c r="AA95" s="76">
        <v>0</v>
      </c>
      <c r="AB95" s="76"/>
      <c r="AC95" s="76">
        <v>0</v>
      </c>
      <c r="AD95" s="76"/>
      <c r="AE95" s="76">
        <v>0</v>
      </c>
      <c r="AF95" s="76"/>
      <c r="AG95" s="76">
        <v>0</v>
      </c>
      <c r="AH95"/>
      <c r="AI95" s="76">
        <f t="shared" si="1"/>
        <v>12297.27</v>
      </c>
      <c r="AJ95" s="10"/>
    </row>
    <row r="96" spans="1:39" ht="12" hidden="1" customHeight="1" x14ac:dyDescent="0.2">
      <c r="A96" s="1" t="s">
        <v>272</v>
      </c>
      <c r="C96" s="1" t="s">
        <v>271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/>
      <c r="AI96" s="76">
        <f t="shared" si="1"/>
        <v>0</v>
      </c>
      <c r="AJ96" s="10"/>
    </row>
    <row r="97" spans="1:39" ht="12" customHeight="1" x14ac:dyDescent="0.2">
      <c r="A97" s="1" t="s">
        <v>130</v>
      </c>
      <c r="C97" s="1" t="s">
        <v>774</v>
      </c>
      <c r="E97" s="76">
        <v>119666.96</v>
      </c>
      <c r="F97" s="76"/>
      <c r="G97" s="76">
        <v>0</v>
      </c>
      <c r="H97" s="76"/>
      <c r="I97" s="76">
        <v>41390.699999999997</v>
      </c>
      <c r="J97" s="76"/>
      <c r="K97" s="76">
        <v>0</v>
      </c>
      <c r="L97" s="76"/>
      <c r="M97" s="76">
        <v>17951.46</v>
      </c>
      <c r="N97" s="76"/>
      <c r="O97" s="76">
        <v>104777.04</v>
      </c>
      <c r="P97" s="76"/>
      <c r="Q97" s="76">
        <v>1533.9</v>
      </c>
      <c r="R97" s="76"/>
      <c r="S97" s="76">
        <v>38141.61</v>
      </c>
      <c r="T97" s="76"/>
      <c r="U97" s="76">
        <v>0</v>
      </c>
      <c r="V97" s="76"/>
      <c r="W97" s="76">
        <v>0</v>
      </c>
      <c r="X97" s="76"/>
      <c r="Y97" s="76">
        <v>0</v>
      </c>
      <c r="Z97" s="76"/>
      <c r="AA97" s="76">
        <v>0</v>
      </c>
      <c r="AB97" s="76"/>
      <c r="AC97" s="76">
        <v>0</v>
      </c>
      <c r="AD97" s="76"/>
      <c r="AE97" s="76">
        <v>0</v>
      </c>
      <c r="AF97" s="76"/>
      <c r="AG97" s="76">
        <v>865</v>
      </c>
      <c r="AH97"/>
      <c r="AI97" s="76">
        <f t="shared" si="1"/>
        <v>324326.67</v>
      </c>
      <c r="AJ97" s="10"/>
    </row>
    <row r="98" spans="1:39" s="21" customFormat="1" ht="12" customHeight="1" x14ac:dyDescent="0.2">
      <c r="A98" s="1" t="s">
        <v>11</v>
      </c>
      <c r="B98" s="1"/>
      <c r="C98" s="1" t="s">
        <v>740</v>
      </c>
      <c r="D98" s="1"/>
      <c r="E98" s="76">
        <v>6342.2</v>
      </c>
      <c r="F98" s="76"/>
      <c r="G98" s="76">
        <v>0</v>
      </c>
      <c r="H98" s="76"/>
      <c r="I98" s="76">
        <v>45749.72</v>
      </c>
      <c r="J98" s="76"/>
      <c r="K98" s="76">
        <v>0</v>
      </c>
      <c r="L98" s="76"/>
      <c r="M98" s="76">
        <v>0</v>
      </c>
      <c r="N98" s="76"/>
      <c r="O98" s="76">
        <v>1830.22</v>
      </c>
      <c r="P98" s="76"/>
      <c r="Q98" s="76">
        <v>51.4</v>
      </c>
      <c r="R98" s="76"/>
      <c r="S98" s="76">
        <v>5077.24</v>
      </c>
      <c r="T98" s="76"/>
      <c r="U98" s="76">
        <v>0</v>
      </c>
      <c r="V98" s="76"/>
      <c r="W98" s="76">
        <v>0</v>
      </c>
      <c r="X98" s="76"/>
      <c r="Y98" s="76">
        <v>0</v>
      </c>
      <c r="Z98" s="76"/>
      <c r="AA98" s="76">
        <v>0</v>
      </c>
      <c r="AB98" s="76"/>
      <c r="AC98" s="76">
        <v>0</v>
      </c>
      <c r="AD98" s="76"/>
      <c r="AE98" s="76">
        <v>0</v>
      </c>
      <c r="AF98" s="76"/>
      <c r="AG98" s="76">
        <v>0</v>
      </c>
      <c r="AH98"/>
      <c r="AI98" s="76">
        <f t="shared" si="1"/>
        <v>59050.78</v>
      </c>
      <c r="AJ98" s="10"/>
      <c r="AK98" s="22"/>
      <c r="AL98" s="22"/>
      <c r="AM98" s="22"/>
    </row>
    <row r="99" spans="1:39" s="21" customFormat="1" ht="12" customHeight="1" x14ac:dyDescent="0.2">
      <c r="A99" s="1" t="s">
        <v>248</v>
      </c>
      <c r="B99" s="1"/>
      <c r="C99" s="1" t="s">
        <v>811</v>
      </c>
      <c r="D99" s="1"/>
      <c r="E99" s="76">
        <v>30232.33</v>
      </c>
      <c r="F99" s="76"/>
      <c r="G99" s="76">
        <v>0</v>
      </c>
      <c r="H99" s="76"/>
      <c r="I99" s="76">
        <v>15431.41</v>
      </c>
      <c r="J99" s="76"/>
      <c r="K99" s="76">
        <v>0</v>
      </c>
      <c r="L99" s="76"/>
      <c r="M99" s="76">
        <v>0</v>
      </c>
      <c r="N99" s="76"/>
      <c r="O99" s="76">
        <v>870.5</v>
      </c>
      <c r="P99" s="76"/>
      <c r="Q99" s="76">
        <v>90.47</v>
      </c>
      <c r="R99" s="76"/>
      <c r="S99" s="76">
        <v>332.71</v>
      </c>
      <c r="T99" s="76"/>
      <c r="U99" s="76">
        <v>0</v>
      </c>
      <c r="V99" s="76"/>
      <c r="W99" s="76">
        <v>0</v>
      </c>
      <c r="X99" s="76"/>
      <c r="Y99" s="76">
        <v>0</v>
      </c>
      <c r="Z99" s="76"/>
      <c r="AA99" s="76">
        <v>0</v>
      </c>
      <c r="AB99" s="76"/>
      <c r="AC99" s="76">
        <v>0</v>
      </c>
      <c r="AD99" s="76"/>
      <c r="AE99" s="76">
        <v>0</v>
      </c>
      <c r="AF99" s="76"/>
      <c r="AG99" s="76">
        <v>0</v>
      </c>
      <c r="AH99"/>
      <c r="AI99" s="76">
        <f t="shared" si="1"/>
        <v>46957.420000000006</v>
      </c>
      <c r="AJ99" s="10"/>
      <c r="AK99" s="1"/>
      <c r="AL99" s="1"/>
      <c r="AM99" s="1"/>
    </row>
    <row r="100" spans="1:39" s="21" customFormat="1" ht="12" customHeight="1" x14ac:dyDescent="0.2">
      <c r="A100" s="15" t="s">
        <v>524</v>
      </c>
      <c r="B100" s="15"/>
      <c r="C100" s="15" t="s">
        <v>525</v>
      </c>
      <c r="D100" s="15"/>
      <c r="E100" s="76">
        <v>23285.79</v>
      </c>
      <c r="F100" s="76"/>
      <c r="G100" s="76">
        <v>0</v>
      </c>
      <c r="H100" s="76"/>
      <c r="I100" s="76">
        <v>7354.34</v>
      </c>
      <c r="J100" s="76"/>
      <c r="K100" s="76">
        <v>0</v>
      </c>
      <c r="L100" s="76"/>
      <c r="M100" s="76">
        <v>0</v>
      </c>
      <c r="N100" s="76"/>
      <c r="O100" s="76">
        <v>796.12</v>
      </c>
      <c r="P100" s="76"/>
      <c r="Q100" s="76">
        <v>74.099999999999994</v>
      </c>
      <c r="R100" s="76"/>
      <c r="S100" s="76">
        <v>0</v>
      </c>
      <c r="T100" s="76"/>
      <c r="U100" s="76">
        <v>0</v>
      </c>
      <c r="V100" s="76"/>
      <c r="W100" s="76">
        <v>0</v>
      </c>
      <c r="X100" s="76"/>
      <c r="Y100" s="76">
        <v>0</v>
      </c>
      <c r="Z100" s="76"/>
      <c r="AA100" s="76">
        <v>0</v>
      </c>
      <c r="AB100" s="76"/>
      <c r="AC100" s="76">
        <v>0</v>
      </c>
      <c r="AD100" s="76"/>
      <c r="AE100" s="76">
        <v>10</v>
      </c>
      <c r="AF100" s="76"/>
      <c r="AG100" s="76">
        <v>0</v>
      </c>
      <c r="AH100"/>
      <c r="AI100" s="76">
        <f t="shared" si="1"/>
        <v>31520.35</v>
      </c>
      <c r="AJ100" s="24"/>
      <c r="AK100" s="15"/>
      <c r="AL100" s="15"/>
      <c r="AM100" s="15"/>
    </row>
    <row r="101" spans="1:39" ht="12" customHeight="1" x14ac:dyDescent="0.2">
      <c r="A101" s="1" t="s">
        <v>465</v>
      </c>
      <c r="C101" s="1" t="s">
        <v>699</v>
      </c>
      <c r="E101" s="76">
        <v>31587</v>
      </c>
      <c r="F101" s="76"/>
      <c r="G101" s="76">
        <v>0</v>
      </c>
      <c r="H101" s="76"/>
      <c r="I101" s="76">
        <v>17647</v>
      </c>
      <c r="J101" s="76"/>
      <c r="K101" s="76">
        <v>1486</v>
      </c>
      <c r="L101" s="76"/>
      <c r="M101" s="76">
        <v>0</v>
      </c>
      <c r="N101" s="76"/>
      <c r="O101" s="76">
        <v>0</v>
      </c>
      <c r="P101" s="76"/>
      <c r="Q101" s="76">
        <v>0</v>
      </c>
      <c r="R101" s="76"/>
      <c r="S101" s="76">
        <v>4078</v>
      </c>
      <c r="T101" s="76"/>
      <c r="U101" s="76">
        <v>0</v>
      </c>
      <c r="V101" s="76"/>
      <c r="W101" s="76">
        <v>0</v>
      </c>
      <c r="X101" s="76"/>
      <c r="Y101" s="76">
        <v>0</v>
      </c>
      <c r="Z101" s="76"/>
      <c r="AA101" s="76">
        <v>0</v>
      </c>
      <c r="AB101" s="76"/>
      <c r="AC101" s="76">
        <v>0</v>
      </c>
      <c r="AD101" s="76"/>
      <c r="AE101" s="76">
        <v>0</v>
      </c>
      <c r="AF101" s="76"/>
      <c r="AG101" s="76">
        <v>0</v>
      </c>
      <c r="AH101" s="76"/>
      <c r="AI101" s="76">
        <f t="shared" si="1"/>
        <v>54798</v>
      </c>
      <c r="AJ101" s="10"/>
    </row>
    <row r="102" spans="1:39" ht="12" customHeight="1" x14ac:dyDescent="0.2">
      <c r="A102" s="1" t="s">
        <v>683</v>
      </c>
      <c r="C102" s="1" t="s">
        <v>368</v>
      </c>
      <c r="E102" s="76">
        <v>70653</v>
      </c>
      <c r="F102" s="76"/>
      <c r="G102" s="76">
        <v>488592</v>
      </c>
      <c r="H102" s="76"/>
      <c r="I102" s="76">
        <v>85101</v>
      </c>
      <c r="J102" s="76"/>
      <c r="K102" s="76">
        <v>0</v>
      </c>
      <c r="L102" s="76"/>
      <c r="M102" s="76">
        <v>15236</v>
      </c>
      <c r="N102" s="76"/>
      <c r="O102" s="76">
        <v>19263</v>
      </c>
      <c r="P102" s="76"/>
      <c r="Q102" s="76">
        <v>13402</v>
      </c>
      <c r="R102" s="76"/>
      <c r="S102" s="76">
        <v>4421</v>
      </c>
      <c r="T102" s="76"/>
      <c r="U102" s="76">
        <v>0</v>
      </c>
      <c r="V102" s="76"/>
      <c r="W102" s="76">
        <v>0</v>
      </c>
      <c r="X102" s="76"/>
      <c r="Y102" s="76">
        <v>9387</v>
      </c>
      <c r="Z102" s="76"/>
      <c r="AA102" s="76">
        <v>0</v>
      </c>
      <c r="AB102" s="76"/>
      <c r="AC102" s="76">
        <v>22146</v>
      </c>
      <c r="AD102" s="76"/>
      <c r="AE102" s="76">
        <v>0</v>
      </c>
      <c r="AF102" s="76"/>
      <c r="AG102" s="76">
        <v>0</v>
      </c>
      <c r="AH102" s="76"/>
      <c r="AI102" s="76">
        <f t="shared" si="1"/>
        <v>728201</v>
      </c>
      <c r="AJ102" s="36"/>
    </row>
    <row r="103" spans="1:39" s="21" customFormat="1" ht="12" customHeight="1" x14ac:dyDescent="0.2">
      <c r="A103" s="15" t="s">
        <v>518</v>
      </c>
      <c r="B103" s="15"/>
      <c r="C103" s="15" t="s">
        <v>519</v>
      </c>
      <c r="D103" s="15"/>
      <c r="E103" s="76">
        <v>120068</v>
      </c>
      <c r="F103" s="76"/>
      <c r="G103" s="76">
        <v>127200</v>
      </c>
      <c r="H103" s="76"/>
      <c r="I103" s="76">
        <v>0</v>
      </c>
      <c r="J103" s="76"/>
      <c r="K103" s="76">
        <v>35344</v>
      </c>
      <c r="L103" s="76"/>
      <c r="M103" s="76">
        <v>189141</v>
      </c>
      <c r="N103" s="76"/>
      <c r="O103" s="76">
        <v>6614</v>
      </c>
      <c r="P103" s="76"/>
      <c r="Q103" s="76">
        <v>0</v>
      </c>
      <c r="R103" s="76"/>
      <c r="S103" s="76">
        <v>5920</v>
      </c>
      <c r="T103" s="76"/>
      <c r="U103" s="76">
        <v>0</v>
      </c>
      <c r="V103" s="76"/>
      <c r="W103" s="76">
        <v>0</v>
      </c>
      <c r="X103" s="76"/>
      <c r="Y103" s="76">
        <v>0</v>
      </c>
      <c r="Z103" s="76"/>
      <c r="AA103" s="76">
        <v>0</v>
      </c>
      <c r="AB103" s="76"/>
      <c r="AC103" s="76">
        <v>0</v>
      </c>
      <c r="AD103" s="76"/>
      <c r="AE103" s="76">
        <v>0</v>
      </c>
      <c r="AF103" s="76"/>
      <c r="AG103" s="76">
        <v>0</v>
      </c>
      <c r="AH103" s="77"/>
      <c r="AI103" s="76">
        <f t="shared" si="1"/>
        <v>484287</v>
      </c>
      <c r="AJ103" s="24"/>
      <c r="AK103" s="15"/>
      <c r="AL103" s="15"/>
      <c r="AM103" s="15"/>
    </row>
    <row r="104" spans="1:39" ht="12" customHeight="1" x14ac:dyDescent="0.2">
      <c r="A104" s="1" t="s">
        <v>241</v>
      </c>
      <c r="C104" s="1" t="s">
        <v>809</v>
      </c>
      <c r="E104" s="76">
        <v>1263.69</v>
      </c>
      <c r="F104" s="76"/>
      <c r="G104" s="76">
        <v>0</v>
      </c>
      <c r="H104" s="76"/>
      <c r="I104" s="76">
        <v>5350</v>
      </c>
      <c r="J104" s="76"/>
      <c r="K104" s="76">
        <v>0</v>
      </c>
      <c r="L104" s="76"/>
      <c r="M104" s="76">
        <v>0</v>
      </c>
      <c r="N104" s="76"/>
      <c r="O104" s="76">
        <v>5482.92</v>
      </c>
      <c r="P104" s="76"/>
      <c r="Q104" s="76">
        <v>0</v>
      </c>
      <c r="R104" s="76"/>
      <c r="S104" s="76">
        <v>0</v>
      </c>
      <c r="T104" s="76"/>
      <c r="U104" s="76">
        <v>0</v>
      </c>
      <c r="V104" s="76"/>
      <c r="W104" s="76">
        <v>0</v>
      </c>
      <c r="X104" s="76"/>
      <c r="Y104" s="76">
        <v>0</v>
      </c>
      <c r="Z104" s="76"/>
      <c r="AA104" s="76">
        <v>0</v>
      </c>
      <c r="AB104" s="76"/>
      <c r="AC104" s="76">
        <v>0</v>
      </c>
      <c r="AD104" s="76"/>
      <c r="AE104" s="76">
        <v>200</v>
      </c>
      <c r="AF104" s="76"/>
      <c r="AG104" s="76">
        <v>0</v>
      </c>
      <c r="AH104"/>
      <c r="AI104" s="76">
        <f t="shared" si="1"/>
        <v>12296.61</v>
      </c>
      <c r="AJ104" s="10"/>
    </row>
    <row r="105" spans="1:39" ht="12" customHeight="1" x14ac:dyDescent="0.2">
      <c r="A105" s="1" t="s">
        <v>86</v>
      </c>
      <c r="C105" s="1" t="s">
        <v>762</v>
      </c>
      <c r="E105" s="76">
        <v>77162.3</v>
      </c>
      <c r="F105" s="76"/>
      <c r="G105" s="76">
        <v>330573.69</v>
      </c>
      <c r="H105" s="76"/>
      <c r="I105" s="76">
        <v>97737.94</v>
      </c>
      <c r="J105" s="76"/>
      <c r="K105" s="76">
        <v>800</v>
      </c>
      <c r="L105" s="76"/>
      <c r="M105" s="76">
        <v>0</v>
      </c>
      <c r="N105" s="76"/>
      <c r="O105" s="76">
        <v>1669.9</v>
      </c>
      <c r="P105" s="76"/>
      <c r="Q105" s="76">
        <v>1389.16</v>
      </c>
      <c r="R105" s="76"/>
      <c r="S105" s="76">
        <v>22964.6</v>
      </c>
      <c r="T105" s="76"/>
      <c r="U105" s="76">
        <v>0</v>
      </c>
      <c r="V105" s="76"/>
      <c r="W105" s="76">
        <v>0</v>
      </c>
      <c r="X105" s="76"/>
      <c r="Y105" s="76">
        <v>0</v>
      </c>
      <c r="Z105" s="76"/>
      <c r="AA105" s="76">
        <v>0</v>
      </c>
      <c r="AB105" s="76"/>
      <c r="AC105" s="76">
        <v>0</v>
      </c>
      <c r="AD105" s="76"/>
      <c r="AE105" s="76">
        <v>0</v>
      </c>
      <c r="AF105" s="76"/>
      <c r="AG105" s="76">
        <v>0</v>
      </c>
      <c r="AH105"/>
      <c r="AI105" s="76">
        <f t="shared" si="1"/>
        <v>532297.59</v>
      </c>
      <c r="AJ105" s="10"/>
      <c r="AK105" s="21"/>
      <c r="AL105" s="21"/>
      <c r="AM105" s="21"/>
    </row>
    <row r="106" spans="1:39" s="21" customFormat="1" ht="12" customHeight="1" x14ac:dyDescent="0.2">
      <c r="A106" s="1" t="s">
        <v>100</v>
      </c>
      <c r="B106" s="1"/>
      <c r="C106" s="1" t="s">
        <v>403</v>
      </c>
      <c r="D106" s="1"/>
      <c r="E106" s="76">
        <v>94713.59</v>
      </c>
      <c r="F106" s="76"/>
      <c r="G106" s="76">
        <v>707088.38</v>
      </c>
      <c r="H106" s="76"/>
      <c r="I106" s="76">
        <v>57243.26</v>
      </c>
      <c r="J106" s="76"/>
      <c r="K106" s="76">
        <v>0</v>
      </c>
      <c r="L106" s="76"/>
      <c r="M106" s="76">
        <v>237884.1</v>
      </c>
      <c r="N106" s="76"/>
      <c r="O106" s="76">
        <v>46350.67</v>
      </c>
      <c r="P106" s="76"/>
      <c r="Q106" s="76">
        <v>1998.95</v>
      </c>
      <c r="R106" s="76"/>
      <c r="S106" s="76">
        <v>535819.59</v>
      </c>
      <c r="T106" s="76"/>
      <c r="U106" s="76">
        <v>0</v>
      </c>
      <c r="V106" s="76"/>
      <c r="W106" s="76">
        <v>0</v>
      </c>
      <c r="X106" s="76"/>
      <c r="Y106" s="76">
        <v>1046586</v>
      </c>
      <c r="Z106" s="76"/>
      <c r="AA106" s="76">
        <v>0</v>
      </c>
      <c r="AB106" s="76"/>
      <c r="AC106" s="76">
        <v>0</v>
      </c>
      <c r="AD106" s="76"/>
      <c r="AE106" s="76">
        <v>19068.509999999998</v>
      </c>
      <c r="AF106" s="76"/>
      <c r="AG106" s="76">
        <v>0</v>
      </c>
      <c r="AH106"/>
      <c r="AI106" s="76">
        <f t="shared" si="1"/>
        <v>2746753.05</v>
      </c>
      <c r="AJ106" s="10"/>
    </row>
    <row r="107" spans="1:39" s="21" customFormat="1" ht="12" customHeight="1" x14ac:dyDescent="0.2">
      <c r="A107" s="1" t="s">
        <v>702</v>
      </c>
      <c r="B107" s="1"/>
      <c r="C107" s="1" t="s">
        <v>703</v>
      </c>
      <c r="D107" s="1"/>
      <c r="E107" s="76">
        <v>44500.07</v>
      </c>
      <c r="F107" s="76"/>
      <c r="G107" s="76">
        <v>29940.35</v>
      </c>
      <c r="H107" s="76"/>
      <c r="I107" s="76">
        <v>22057.26</v>
      </c>
      <c r="J107" s="76"/>
      <c r="K107" s="76">
        <v>0</v>
      </c>
      <c r="L107" s="76"/>
      <c r="M107" s="76">
        <v>4858.04</v>
      </c>
      <c r="N107" s="76"/>
      <c r="O107" s="76">
        <v>1498.65</v>
      </c>
      <c r="P107" s="76"/>
      <c r="Q107" s="76">
        <v>17.420000000000002</v>
      </c>
      <c r="R107" s="76"/>
      <c r="S107" s="76">
        <v>0</v>
      </c>
      <c r="T107" s="76"/>
      <c r="U107" s="76">
        <v>0</v>
      </c>
      <c r="V107" s="76"/>
      <c r="W107" s="76">
        <v>0</v>
      </c>
      <c r="X107" s="76"/>
      <c r="Y107" s="76">
        <v>0</v>
      </c>
      <c r="Z107" s="76"/>
      <c r="AA107" s="76">
        <v>0</v>
      </c>
      <c r="AB107" s="76"/>
      <c r="AC107" s="76">
        <v>0</v>
      </c>
      <c r="AD107" s="76"/>
      <c r="AE107" s="76">
        <v>0</v>
      </c>
      <c r="AF107" s="76"/>
      <c r="AG107" s="76">
        <v>0</v>
      </c>
      <c r="AH107"/>
      <c r="AI107" s="76">
        <f t="shared" si="1"/>
        <v>102871.78999999998</v>
      </c>
      <c r="AJ107" s="10"/>
      <c r="AK107" s="10"/>
    </row>
    <row r="108" spans="1:39" s="21" customFormat="1" ht="12" customHeight="1" x14ac:dyDescent="0.2">
      <c r="A108" s="1" t="s">
        <v>177</v>
      </c>
      <c r="B108" s="1"/>
      <c r="C108" s="1" t="s">
        <v>790</v>
      </c>
      <c r="D108" s="1"/>
      <c r="E108" s="76">
        <v>221395.11</v>
      </c>
      <c r="F108" s="76"/>
      <c r="G108" s="76">
        <v>0</v>
      </c>
      <c r="H108" s="76"/>
      <c r="I108" s="76">
        <v>211280.85</v>
      </c>
      <c r="J108" s="76"/>
      <c r="K108" s="76">
        <v>3.37</v>
      </c>
      <c r="L108" s="76"/>
      <c r="M108" s="76">
        <v>21.5</v>
      </c>
      <c r="N108" s="76"/>
      <c r="O108" s="76">
        <v>2896.5</v>
      </c>
      <c r="P108" s="76"/>
      <c r="Q108" s="76">
        <v>126189.43</v>
      </c>
      <c r="R108" s="76"/>
      <c r="S108" s="76">
        <v>11640.26</v>
      </c>
      <c r="T108" s="76"/>
      <c r="U108" s="76">
        <v>0</v>
      </c>
      <c r="V108" s="76"/>
      <c r="W108" s="76">
        <v>0</v>
      </c>
      <c r="X108" s="76"/>
      <c r="Y108" s="76">
        <v>0</v>
      </c>
      <c r="Z108" s="76"/>
      <c r="AA108" s="76">
        <v>0</v>
      </c>
      <c r="AB108" s="76"/>
      <c r="AC108" s="76">
        <v>0</v>
      </c>
      <c r="AD108" s="76"/>
      <c r="AE108" s="76">
        <v>0</v>
      </c>
      <c r="AF108" s="76"/>
      <c r="AG108" s="76">
        <v>0</v>
      </c>
      <c r="AH108"/>
      <c r="AI108" s="76">
        <f t="shared" si="1"/>
        <v>573427.02</v>
      </c>
      <c r="AJ108" s="10"/>
      <c r="AK108" s="1"/>
      <c r="AL108" s="1"/>
      <c r="AM108" s="1"/>
    </row>
    <row r="109" spans="1:39" s="31" customFormat="1" ht="12" customHeight="1" x14ac:dyDescent="0.2">
      <c r="A109" s="1" t="s">
        <v>147</v>
      </c>
      <c r="B109" s="1"/>
      <c r="C109" s="1" t="s">
        <v>780</v>
      </c>
      <c r="D109" s="1"/>
      <c r="E109" s="76">
        <v>52271.6</v>
      </c>
      <c r="F109" s="76"/>
      <c r="G109" s="76">
        <v>0</v>
      </c>
      <c r="H109" s="76"/>
      <c r="I109" s="76">
        <v>28123.37</v>
      </c>
      <c r="J109" s="76"/>
      <c r="K109" s="76">
        <v>56.65</v>
      </c>
      <c r="L109" s="76"/>
      <c r="M109" s="76">
        <v>3425</v>
      </c>
      <c r="N109" s="76"/>
      <c r="O109" s="76">
        <v>5714.45</v>
      </c>
      <c r="P109" s="76"/>
      <c r="Q109" s="76">
        <v>332.6</v>
      </c>
      <c r="R109" s="76"/>
      <c r="S109" s="76">
        <v>4861.5</v>
      </c>
      <c r="T109" s="76"/>
      <c r="U109" s="76">
        <v>0</v>
      </c>
      <c r="V109" s="76"/>
      <c r="W109" s="76">
        <v>0</v>
      </c>
      <c r="X109" s="76"/>
      <c r="Y109" s="76">
        <v>0</v>
      </c>
      <c r="Z109" s="76"/>
      <c r="AA109" s="76">
        <v>0</v>
      </c>
      <c r="AB109" s="76"/>
      <c r="AC109" s="76">
        <v>0</v>
      </c>
      <c r="AD109" s="76"/>
      <c r="AE109" s="76">
        <v>0</v>
      </c>
      <c r="AF109" s="76"/>
      <c r="AG109" s="76">
        <v>0</v>
      </c>
      <c r="AH109"/>
      <c r="AI109" s="76">
        <f t="shared" si="1"/>
        <v>94785.17</v>
      </c>
      <c r="AJ109" s="10"/>
      <c r="AK109" s="1"/>
      <c r="AL109" s="1"/>
      <c r="AM109" s="1"/>
    </row>
    <row r="110" spans="1:39" ht="12" customHeight="1" x14ac:dyDescent="0.2">
      <c r="A110" s="1" t="s">
        <v>198</v>
      </c>
      <c r="C110" s="1" t="s">
        <v>796</v>
      </c>
      <c r="E110" s="76">
        <v>231528.54</v>
      </c>
      <c r="F110" s="76"/>
      <c r="G110" s="76">
        <v>0</v>
      </c>
      <c r="H110" s="76"/>
      <c r="I110" s="76">
        <v>43545.23</v>
      </c>
      <c r="J110" s="76"/>
      <c r="K110" s="76">
        <v>0</v>
      </c>
      <c r="L110" s="76"/>
      <c r="M110" s="76">
        <v>9089.1200000000008</v>
      </c>
      <c r="N110" s="76"/>
      <c r="O110" s="76">
        <v>50867.05</v>
      </c>
      <c r="P110" s="76"/>
      <c r="Q110" s="76">
        <v>2788.33</v>
      </c>
      <c r="R110" s="76"/>
      <c r="S110" s="76">
        <v>18422.009999999998</v>
      </c>
      <c r="T110" s="76"/>
      <c r="U110" s="76">
        <v>0</v>
      </c>
      <c r="V110" s="76"/>
      <c r="W110" s="76">
        <v>0</v>
      </c>
      <c r="X110" s="76"/>
      <c r="Y110" s="76">
        <v>0</v>
      </c>
      <c r="Z110" s="76"/>
      <c r="AA110" s="76">
        <v>0</v>
      </c>
      <c r="AB110" s="76"/>
      <c r="AC110" s="76">
        <v>0</v>
      </c>
      <c r="AD110" s="76"/>
      <c r="AE110" s="76">
        <v>0</v>
      </c>
      <c r="AF110" s="76"/>
      <c r="AG110" s="76">
        <v>0</v>
      </c>
      <c r="AH110"/>
      <c r="AI110" s="76">
        <f t="shared" si="1"/>
        <v>356240.28</v>
      </c>
      <c r="AJ110" s="10"/>
    </row>
    <row r="111" spans="1:39" ht="12" hidden="1" customHeight="1" x14ac:dyDescent="0.2">
      <c r="A111" s="1" t="s">
        <v>352</v>
      </c>
      <c r="C111" s="1" t="s">
        <v>353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/>
      <c r="AI111" s="76">
        <f t="shared" si="1"/>
        <v>0</v>
      </c>
      <c r="AJ111" s="10"/>
    </row>
    <row r="112" spans="1:39" s="21" customFormat="1" ht="12" customHeight="1" x14ac:dyDescent="0.2">
      <c r="A112" s="1" t="s">
        <v>170</v>
      </c>
      <c r="B112" s="1"/>
      <c r="C112" s="1" t="s">
        <v>788</v>
      </c>
      <c r="D112" s="1"/>
      <c r="E112" s="76">
        <v>260575</v>
      </c>
      <c r="F112" s="76"/>
      <c r="G112" s="76">
        <v>0</v>
      </c>
      <c r="H112" s="76"/>
      <c r="I112" s="76">
        <f>65282+330</f>
        <v>65612</v>
      </c>
      <c r="J112" s="76"/>
      <c r="K112" s="76">
        <v>522</v>
      </c>
      <c r="L112" s="76"/>
      <c r="M112" s="76">
        <v>24</v>
      </c>
      <c r="N112" s="76"/>
      <c r="O112" s="76">
        <v>15420</v>
      </c>
      <c r="P112" s="76"/>
      <c r="Q112" s="76">
        <v>30512</v>
      </c>
      <c r="R112" s="76"/>
      <c r="S112" s="76">
        <v>28126</v>
      </c>
      <c r="T112" s="76"/>
      <c r="U112" s="76">
        <v>0</v>
      </c>
      <c r="V112" s="76"/>
      <c r="W112" s="76">
        <v>0</v>
      </c>
      <c r="X112" s="76"/>
      <c r="Y112" s="76">
        <v>0</v>
      </c>
      <c r="Z112" s="76"/>
      <c r="AA112" s="76">
        <v>0</v>
      </c>
      <c r="AB112" s="76"/>
      <c r="AC112" s="76">
        <v>0</v>
      </c>
      <c r="AD112" s="76"/>
      <c r="AE112" s="76">
        <v>152434</v>
      </c>
      <c r="AF112" s="76"/>
      <c r="AG112" s="76">
        <v>0</v>
      </c>
      <c r="AH112" s="76"/>
      <c r="AI112" s="76">
        <f t="shared" si="1"/>
        <v>553225</v>
      </c>
      <c r="AJ112" s="10"/>
      <c r="AK112" s="1"/>
      <c r="AL112" s="1"/>
      <c r="AM112" s="1"/>
    </row>
    <row r="113" spans="1:39" ht="12" customHeight="1" x14ac:dyDescent="0.2">
      <c r="A113" s="1" t="s">
        <v>608</v>
      </c>
      <c r="C113" s="1" t="s">
        <v>609</v>
      </c>
      <c r="E113" s="76">
        <f>78356+422433</f>
        <v>500789</v>
      </c>
      <c r="F113" s="76"/>
      <c r="G113" s="76">
        <v>548159</v>
      </c>
      <c r="H113" s="76"/>
      <c r="I113" s="76">
        <v>90731</v>
      </c>
      <c r="J113" s="76"/>
      <c r="K113" s="76">
        <v>94</v>
      </c>
      <c r="L113" s="76"/>
      <c r="M113" s="76">
        <v>25634</v>
      </c>
      <c r="N113" s="76"/>
      <c r="O113" s="76">
        <f>3894+7486</f>
        <v>11380</v>
      </c>
      <c r="P113" s="76"/>
      <c r="Q113" s="76">
        <v>51688</v>
      </c>
      <c r="R113" s="76"/>
      <c r="S113" s="76">
        <f>59598+14715+10100</f>
        <v>84413</v>
      </c>
      <c r="T113" s="76"/>
      <c r="U113" s="76">
        <v>0</v>
      </c>
      <c r="V113" s="76"/>
      <c r="W113" s="76">
        <v>0</v>
      </c>
      <c r="X113" s="76"/>
      <c r="Y113" s="76">
        <v>15794</v>
      </c>
      <c r="Z113" s="76"/>
      <c r="AA113" s="76">
        <v>0</v>
      </c>
      <c r="AB113" s="76"/>
      <c r="AC113" s="76">
        <v>0</v>
      </c>
      <c r="AD113" s="76"/>
      <c r="AE113" s="76">
        <v>0</v>
      </c>
      <c r="AF113" s="76"/>
      <c r="AG113" s="76">
        <v>0</v>
      </c>
      <c r="AH113" s="76"/>
      <c r="AI113" s="76">
        <f t="shared" si="1"/>
        <v>1328682</v>
      </c>
      <c r="AJ113" s="10"/>
    </row>
    <row r="114" spans="1:39" ht="12" customHeight="1" x14ac:dyDescent="0.2">
      <c r="A114" s="1" t="s">
        <v>942</v>
      </c>
      <c r="C114" s="1" t="s">
        <v>581</v>
      </c>
      <c r="E114" s="76">
        <v>64862</v>
      </c>
      <c r="F114" s="76"/>
      <c r="G114" s="76">
        <v>602687</v>
      </c>
      <c r="H114" s="76"/>
      <c r="I114" s="76">
        <v>63376</v>
      </c>
      <c r="J114" s="76"/>
      <c r="K114" s="76">
        <v>33892</v>
      </c>
      <c r="L114" s="76"/>
      <c r="M114" s="76">
        <v>0</v>
      </c>
      <c r="N114" s="76"/>
      <c r="O114" s="76">
        <f>81599+60259</f>
        <v>141858</v>
      </c>
      <c r="P114" s="76"/>
      <c r="Q114" s="76">
        <v>6334</v>
      </c>
      <c r="R114" s="76"/>
      <c r="S114" s="76">
        <v>17754</v>
      </c>
      <c r="T114" s="76"/>
      <c r="U114" s="76">
        <v>0</v>
      </c>
      <c r="V114" s="76"/>
      <c r="W114" s="76">
        <v>0</v>
      </c>
      <c r="X114" s="76"/>
      <c r="Y114" s="76">
        <v>0</v>
      </c>
      <c r="Z114" s="76"/>
      <c r="AA114" s="76">
        <v>0</v>
      </c>
      <c r="AB114" s="76"/>
      <c r="AC114" s="76">
        <v>0</v>
      </c>
      <c r="AD114" s="76"/>
      <c r="AE114" s="76">
        <v>0</v>
      </c>
      <c r="AF114" s="76"/>
      <c r="AG114" s="76">
        <v>0</v>
      </c>
      <c r="AH114" s="76"/>
      <c r="AI114" s="76">
        <f t="shared" si="1"/>
        <v>930763</v>
      </c>
      <c r="AJ114" s="10"/>
    </row>
    <row r="115" spans="1:39" s="21" customFormat="1" ht="12" customHeight="1" x14ac:dyDescent="0.2">
      <c r="A115" s="1" t="s">
        <v>62</v>
      </c>
      <c r="B115" s="1"/>
      <c r="C115" s="1" t="s">
        <v>756</v>
      </c>
      <c r="D115" s="1"/>
      <c r="E115" s="76">
        <v>15145.57</v>
      </c>
      <c r="F115" s="76"/>
      <c r="G115" s="76">
        <v>176841.27</v>
      </c>
      <c r="H115" s="76"/>
      <c r="I115" s="76">
        <v>13367.11</v>
      </c>
      <c r="J115" s="76"/>
      <c r="K115" s="76">
        <v>0</v>
      </c>
      <c r="L115" s="76"/>
      <c r="M115" s="76">
        <v>26499.96</v>
      </c>
      <c r="N115" s="76"/>
      <c r="O115" s="76">
        <v>9867.18</v>
      </c>
      <c r="P115" s="76"/>
      <c r="Q115" s="76">
        <v>11628.93</v>
      </c>
      <c r="R115" s="76"/>
      <c r="S115" s="76">
        <v>15541.38</v>
      </c>
      <c r="T115" s="76"/>
      <c r="U115" s="76">
        <v>0</v>
      </c>
      <c r="V115" s="76"/>
      <c r="W115" s="76">
        <v>0</v>
      </c>
      <c r="X115" s="76"/>
      <c r="Y115" s="76">
        <v>0</v>
      </c>
      <c r="Z115" s="76"/>
      <c r="AA115" s="76">
        <v>0</v>
      </c>
      <c r="AB115" s="76"/>
      <c r="AC115" s="76">
        <v>10000</v>
      </c>
      <c r="AD115" s="76"/>
      <c r="AE115" s="76">
        <v>0</v>
      </c>
      <c r="AF115" s="76"/>
      <c r="AG115" s="76">
        <v>0</v>
      </c>
      <c r="AH115"/>
      <c r="AI115" s="76">
        <f t="shared" si="1"/>
        <v>278891.39999999997</v>
      </c>
      <c r="AJ115" s="10"/>
      <c r="AK115" s="7"/>
      <c r="AL115" s="7"/>
      <c r="AM115" s="7"/>
    </row>
    <row r="116" spans="1:39" ht="12" customHeight="1" x14ac:dyDescent="0.2">
      <c r="A116" s="1" t="s">
        <v>285</v>
      </c>
      <c r="C116" s="1" t="s">
        <v>62</v>
      </c>
      <c r="E116" s="76">
        <v>204401</v>
      </c>
      <c r="F116" s="76"/>
      <c r="G116" s="76">
        <v>0</v>
      </c>
      <c r="H116" s="76"/>
      <c r="I116" s="76">
        <v>153145</v>
      </c>
      <c r="J116" s="76"/>
      <c r="K116" s="76">
        <v>0</v>
      </c>
      <c r="L116" s="76"/>
      <c r="M116" s="76">
        <v>10047</v>
      </c>
      <c r="N116" s="76"/>
      <c r="O116" s="76">
        <v>78583</v>
      </c>
      <c r="P116" s="76"/>
      <c r="Q116" s="76">
        <v>1013</v>
      </c>
      <c r="R116" s="76"/>
      <c r="S116" s="76">
        <v>3645</v>
      </c>
      <c r="T116" s="76"/>
      <c r="U116" s="76">
        <v>0</v>
      </c>
      <c r="V116" s="76"/>
      <c r="W116" s="76">
        <v>0</v>
      </c>
      <c r="X116" s="76"/>
      <c r="Y116" s="76">
        <v>0</v>
      </c>
      <c r="Z116" s="76"/>
      <c r="AA116" s="76">
        <v>800000</v>
      </c>
      <c r="AB116" s="76"/>
      <c r="AC116" s="76">
        <v>0</v>
      </c>
      <c r="AD116" s="76"/>
      <c r="AE116" s="76">
        <v>989055</v>
      </c>
      <c r="AF116" s="76"/>
      <c r="AG116" s="76">
        <v>0</v>
      </c>
      <c r="AH116" s="76"/>
      <c r="AI116" s="76">
        <f t="shared" si="1"/>
        <v>2239889</v>
      </c>
      <c r="AJ116" s="10"/>
      <c r="AK116" s="22"/>
      <c r="AL116" s="22"/>
      <c r="AM116" s="22"/>
    </row>
    <row r="117" spans="1:39" ht="12" customHeight="1" x14ac:dyDescent="0.2">
      <c r="A117" s="1" t="s">
        <v>917</v>
      </c>
      <c r="C117" s="1" t="s">
        <v>470</v>
      </c>
      <c r="E117" s="76">
        <v>9950.25</v>
      </c>
      <c r="F117" s="76"/>
      <c r="G117" s="76">
        <v>0</v>
      </c>
      <c r="H117" s="76"/>
      <c r="I117" s="76">
        <v>17692.22</v>
      </c>
      <c r="J117" s="76"/>
      <c r="K117" s="76">
        <v>4436.84</v>
      </c>
      <c r="L117" s="76"/>
      <c r="M117" s="76">
        <v>1530</v>
      </c>
      <c r="N117" s="76"/>
      <c r="O117" s="76">
        <v>1900.04</v>
      </c>
      <c r="P117" s="76"/>
      <c r="Q117" s="76">
        <v>193.06</v>
      </c>
      <c r="R117" s="76"/>
      <c r="S117" s="76">
        <v>0</v>
      </c>
      <c r="T117" s="76"/>
      <c r="U117" s="76">
        <v>0</v>
      </c>
      <c r="V117" s="76"/>
      <c r="W117" s="76">
        <v>0</v>
      </c>
      <c r="X117" s="76"/>
      <c r="Y117" s="76">
        <v>0</v>
      </c>
      <c r="Z117" s="76"/>
      <c r="AA117" s="76">
        <v>0</v>
      </c>
      <c r="AB117" s="76"/>
      <c r="AC117" s="76">
        <v>0</v>
      </c>
      <c r="AD117" s="76"/>
      <c r="AE117" s="76">
        <v>0</v>
      </c>
      <c r="AF117" s="76"/>
      <c r="AG117" s="76">
        <v>0</v>
      </c>
      <c r="AH117"/>
      <c r="AI117" s="76">
        <f t="shared" si="1"/>
        <v>35702.409999999996</v>
      </c>
      <c r="AJ117" s="10"/>
      <c r="AK117" s="22"/>
      <c r="AL117" s="22"/>
      <c r="AM117" s="22"/>
    </row>
    <row r="118" spans="1:39" ht="12" customHeight="1" x14ac:dyDescent="0.2">
      <c r="A118" s="1" t="s">
        <v>60</v>
      </c>
      <c r="C118" s="1" t="s">
        <v>755</v>
      </c>
      <c r="E118" s="76">
        <v>101550.79</v>
      </c>
      <c r="F118" s="76"/>
      <c r="G118" s="76">
        <v>0</v>
      </c>
      <c r="H118" s="76"/>
      <c r="I118" s="76">
        <v>39461.81</v>
      </c>
      <c r="J118" s="76"/>
      <c r="K118" s="76">
        <v>0</v>
      </c>
      <c r="L118" s="76"/>
      <c r="M118" s="76">
        <v>46.69</v>
      </c>
      <c r="N118" s="76"/>
      <c r="O118" s="76">
        <v>23657.84</v>
      </c>
      <c r="P118" s="76"/>
      <c r="Q118" s="76">
        <v>423.7</v>
      </c>
      <c r="R118" s="76"/>
      <c r="S118" s="76">
        <v>119.88</v>
      </c>
      <c r="T118" s="76"/>
      <c r="U118" s="76">
        <v>0</v>
      </c>
      <c r="V118" s="76"/>
      <c r="W118" s="76">
        <v>0</v>
      </c>
      <c r="X118" s="76"/>
      <c r="Y118" s="76">
        <v>0</v>
      </c>
      <c r="Z118" s="76"/>
      <c r="AA118" s="76">
        <v>0</v>
      </c>
      <c r="AB118" s="76"/>
      <c r="AC118" s="76">
        <v>0</v>
      </c>
      <c r="AD118" s="76"/>
      <c r="AE118" s="76">
        <v>20000</v>
      </c>
      <c r="AF118" s="76"/>
      <c r="AG118" s="76">
        <v>0</v>
      </c>
      <c r="AH118"/>
      <c r="AI118" s="76">
        <f t="shared" si="1"/>
        <v>185260.71</v>
      </c>
      <c r="AJ118" s="10"/>
      <c r="AK118" s="22"/>
      <c r="AL118" s="22"/>
      <c r="AM118" s="22"/>
    </row>
    <row r="119" spans="1:39" ht="12" hidden="1" customHeight="1" x14ac:dyDescent="0.2">
      <c r="A119" s="1" t="s">
        <v>51</v>
      </c>
      <c r="C119" s="1" t="s">
        <v>329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/>
      <c r="AI119" s="76">
        <f t="shared" si="1"/>
        <v>0</v>
      </c>
      <c r="AJ119" s="10"/>
      <c r="AK119" s="22"/>
      <c r="AL119" s="22"/>
      <c r="AM119" s="22"/>
    </row>
    <row r="120" spans="1:39" s="15" customFormat="1" ht="12" customHeight="1" x14ac:dyDescent="0.2">
      <c r="A120" s="1" t="s">
        <v>34</v>
      </c>
      <c r="B120" s="1"/>
      <c r="C120" s="1" t="s">
        <v>746</v>
      </c>
      <c r="D120" s="1"/>
      <c r="E120" s="76">
        <v>4444.5</v>
      </c>
      <c r="F120" s="76"/>
      <c r="G120" s="76">
        <v>41541.75</v>
      </c>
      <c r="H120" s="76"/>
      <c r="I120" s="76">
        <v>4135.1499999999996</v>
      </c>
      <c r="J120" s="76"/>
      <c r="K120" s="76">
        <v>0</v>
      </c>
      <c r="L120" s="76"/>
      <c r="M120" s="76">
        <v>0</v>
      </c>
      <c r="N120" s="76"/>
      <c r="O120" s="76">
        <v>17636.05</v>
      </c>
      <c r="P120" s="76"/>
      <c r="Q120" s="76">
        <v>2.58</v>
      </c>
      <c r="R120" s="76"/>
      <c r="S120" s="76">
        <v>149.5</v>
      </c>
      <c r="T120" s="76"/>
      <c r="U120" s="76">
        <v>0</v>
      </c>
      <c r="V120" s="76"/>
      <c r="W120" s="76">
        <v>0</v>
      </c>
      <c r="X120" s="76"/>
      <c r="Y120" s="76">
        <v>0</v>
      </c>
      <c r="Z120" s="76"/>
      <c r="AA120" s="76">
        <v>0</v>
      </c>
      <c r="AB120" s="76"/>
      <c r="AC120" s="76">
        <v>0</v>
      </c>
      <c r="AD120" s="76"/>
      <c r="AE120" s="76">
        <v>0</v>
      </c>
      <c r="AF120" s="76"/>
      <c r="AG120" s="76">
        <v>0</v>
      </c>
      <c r="AH120" s="81"/>
      <c r="AI120" s="76">
        <f t="shared" si="1"/>
        <v>67909.53</v>
      </c>
      <c r="AJ120" s="10"/>
      <c r="AK120" s="7"/>
      <c r="AL120" s="7"/>
      <c r="AM120" s="7"/>
    </row>
    <row r="121" spans="1:39" s="21" customFormat="1" ht="12" customHeight="1" x14ac:dyDescent="0.2">
      <c r="A121" s="1" t="s">
        <v>182</v>
      </c>
      <c r="B121" s="1"/>
      <c r="C121" s="1" t="s">
        <v>792</v>
      </c>
      <c r="D121" s="1"/>
      <c r="E121" s="76">
        <v>2264.5700000000002</v>
      </c>
      <c r="F121" s="76"/>
      <c r="G121" s="76">
        <v>17837.919999999998</v>
      </c>
      <c r="H121" s="76"/>
      <c r="I121" s="76">
        <v>18114.43</v>
      </c>
      <c r="J121" s="76"/>
      <c r="K121" s="76">
        <v>0</v>
      </c>
      <c r="L121" s="76"/>
      <c r="M121" s="76">
        <v>150</v>
      </c>
      <c r="N121" s="76"/>
      <c r="O121" s="76">
        <v>710.6</v>
      </c>
      <c r="P121" s="76"/>
      <c r="Q121" s="76">
        <v>11.9</v>
      </c>
      <c r="R121" s="76"/>
      <c r="S121" s="76">
        <v>80</v>
      </c>
      <c r="T121" s="76"/>
      <c r="U121" s="76">
        <v>0</v>
      </c>
      <c r="V121" s="76"/>
      <c r="W121" s="76">
        <v>0</v>
      </c>
      <c r="X121" s="76"/>
      <c r="Y121" s="76">
        <v>0</v>
      </c>
      <c r="Z121" s="76"/>
      <c r="AA121" s="76">
        <v>0</v>
      </c>
      <c r="AB121" s="76"/>
      <c r="AC121" s="76">
        <v>0</v>
      </c>
      <c r="AD121" s="76"/>
      <c r="AE121" s="76">
        <v>0</v>
      </c>
      <c r="AF121" s="76"/>
      <c r="AG121" s="76">
        <v>6884.18</v>
      </c>
      <c r="AH121"/>
      <c r="AI121" s="76">
        <f t="shared" si="1"/>
        <v>46053.599999999999</v>
      </c>
      <c r="AJ121" s="10"/>
      <c r="AK121" s="1"/>
      <c r="AL121" s="1"/>
      <c r="AM121" s="1"/>
    </row>
    <row r="122" spans="1:39" s="21" customFormat="1" ht="12" customHeight="1" x14ac:dyDescent="0.2">
      <c r="A122" s="1" t="s">
        <v>370</v>
      </c>
      <c r="B122" s="1"/>
      <c r="C122" s="1" t="s">
        <v>371</v>
      </c>
      <c r="D122" s="1"/>
      <c r="E122" s="76">
        <v>80803</v>
      </c>
      <c r="F122" s="76"/>
      <c r="G122" s="76">
        <v>527894</v>
      </c>
      <c r="H122" s="76"/>
      <c r="I122" s="76">
        <f>57622+2888</f>
        <v>60510</v>
      </c>
      <c r="J122" s="76"/>
      <c r="K122" s="76">
        <v>0</v>
      </c>
      <c r="L122" s="76"/>
      <c r="M122" s="76">
        <v>0</v>
      </c>
      <c r="N122" s="76"/>
      <c r="O122" s="76">
        <v>510</v>
      </c>
      <c r="P122" s="76"/>
      <c r="Q122" s="76">
        <v>3029</v>
      </c>
      <c r="R122" s="76"/>
      <c r="S122" s="76">
        <v>247084</v>
      </c>
      <c r="T122" s="76"/>
      <c r="U122" s="76">
        <v>0</v>
      </c>
      <c r="V122" s="76"/>
      <c r="W122" s="76">
        <v>0</v>
      </c>
      <c r="X122" s="76"/>
      <c r="Y122" s="76">
        <v>75000</v>
      </c>
      <c r="Z122" s="76"/>
      <c r="AA122" s="76">
        <v>0</v>
      </c>
      <c r="AB122" s="76"/>
      <c r="AC122" s="76">
        <v>0</v>
      </c>
      <c r="AD122" s="76"/>
      <c r="AE122" s="76">
        <v>0</v>
      </c>
      <c r="AF122" s="76"/>
      <c r="AG122" s="76">
        <v>-206007</v>
      </c>
      <c r="AH122" s="76"/>
      <c r="AI122" s="76">
        <f t="shared" si="1"/>
        <v>788823</v>
      </c>
      <c r="AJ122" s="10"/>
    </row>
    <row r="123" spans="1:39" ht="12" customHeight="1" x14ac:dyDescent="0.2">
      <c r="A123" s="1" t="s">
        <v>121</v>
      </c>
      <c r="C123" s="1" t="s">
        <v>771</v>
      </c>
      <c r="E123" s="76">
        <v>82250.63</v>
      </c>
      <c r="F123" s="76"/>
      <c r="G123" s="76">
        <v>336832.83</v>
      </c>
      <c r="H123" s="76"/>
      <c r="I123" s="76">
        <v>27455.19</v>
      </c>
      <c r="J123" s="76"/>
      <c r="K123" s="76">
        <v>0</v>
      </c>
      <c r="L123" s="76"/>
      <c r="M123" s="76">
        <v>0</v>
      </c>
      <c r="N123" s="76"/>
      <c r="O123" s="76">
        <v>19426.330000000002</v>
      </c>
      <c r="P123" s="76"/>
      <c r="Q123" s="76">
        <v>1039.8900000000001</v>
      </c>
      <c r="R123" s="76"/>
      <c r="S123" s="76">
        <v>11487.85</v>
      </c>
      <c r="T123" s="76"/>
      <c r="U123" s="76">
        <v>0</v>
      </c>
      <c r="V123" s="76"/>
      <c r="W123" s="76">
        <v>0</v>
      </c>
      <c r="X123" s="76"/>
      <c r="Y123" s="76">
        <v>0</v>
      </c>
      <c r="Z123" s="76"/>
      <c r="AA123" s="76">
        <v>0</v>
      </c>
      <c r="AB123" s="76"/>
      <c r="AC123" s="76">
        <v>0</v>
      </c>
      <c r="AD123" s="76"/>
      <c r="AE123" s="76">
        <v>0</v>
      </c>
      <c r="AF123" s="76"/>
      <c r="AG123" s="76">
        <v>0</v>
      </c>
      <c r="AH123"/>
      <c r="AI123" s="76">
        <f t="shared" si="1"/>
        <v>478492.72000000003</v>
      </c>
      <c r="AJ123" s="10"/>
    </row>
    <row r="124" spans="1:39" ht="12" customHeight="1" x14ac:dyDescent="0.2">
      <c r="A124" s="1" t="s">
        <v>826</v>
      </c>
      <c r="C124" s="1" t="s">
        <v>760</v>
      </c>
      <c r="E124" s="76">
        <v>18.86</v>
      </c>
      <c r="F124" s="76"/>
      <c r="G124" s="76">
        <v>0</v>
      </c>
      <c r="H124" s="76"/>
      <c r="I124" s="76">
        <v>47368.35</v>
      </c>
      <c r="J124" s="76"/>
      <c r="K124" s="76">
        <v>0</v>
      </c>
      <c r="L124" s="76"/>
      <c r="M124" s="76">
        <v>6517.3</v>
      </c>
      <c r="N124" s="76"/>
      <c r="O124" s="76">
        <v>0</v>
      </c>
      <c r="P124" s="76"/>
      <c r="Q124" s="76">
        <v>0</v>
      </c>
      <c r="R124" s="76"/>
      <c r="S124" s="76">
        <v>11957.02</v>
      </c>
      <c r="T124" s="76"/>
      <c r="U124" s="76">
        <v>0</v>
      </c>
      <c r="V124" s="76"/>
      <c r="W124" s="76">
        <v>0</v>
      </c>
      <c r="X124" s="76"/>
      <c r="Y124" s="76">
        <v>0</v>
      </c>
      <c r="Z124" s="76"/>
      <c r="AA124" s="76">
        <v>0</v>
      </c>
      <c r="AB124" s="76"/>
      <c r="AC124" s="76">
        <v>0</v>
      </c>
      <c r="AD124" s="76"/>
      <c r="AE124" s="76">
        <v>0</v>
      </c>
      <c r="AF124" s="76"/>
      <c r="AG124" s="76">
        <v>0</v>
      </c>
      <c r="AH124"/>
      <c r="AI124" s="76">
        <f t="shared" si="1"/>
        <v>65861.53</v>
      </c>
      <c r="AJ124" s="10"/>
    </row>
    <row r="125" spans="1:39" ht="12" customHeight="1" x14ac:dyDescent="0.2">
      <c r="A125" s="1" t="s">
        <v>319</v>
      </c>
      <c r="C125" s="1" t="s">
        <v>316</v>
      </c>
      <c r="E125" s="76">
        <v>1233335</v>
      </c>
      <c r="F125" s="76"/>
      <c r="G125" s="76">
        <v>2452676</v>
      </c>
      <c r="H125" s="76"/>
      <c r="I125" s="76">
        <v>799699</v>
      </c>
      <c r="J125" s="76"/>
      <c r="K125" s="76">
        <v>0</v>
      </c>
      <c r="L125" s="76"/>
      <c r="M125" s="76">
        <v>932757</v>
      </c>
      <c r="N125" s="76"/>
      <c r="O125" s="76">
        <v>93113</v>
      </c>
      <c r="P125" s="76"/>
      <c r="Q125" s="76">
        <v>3327</v>
      </c>
      <c r="R125" s="76"/>
      <c r="S125" s="76">
        <v>96876</v>
      </c>
      <c r="T125" s="76"/>
      <c r="U125" s="76">
        <v>0</v>
      </c>
      <c r="V125" s="76"/>
      <c r="W125" s="76">
        <v>0</v>
      </c>
      <c r="X125" s="76"/>
      <c r="Y125" s="76">
        <v>0</v>
      </c>
      <c r="Z125" s="76"/>
      <c r="AA125" s="76">
        <v>0</v>
      </c>
      <c r="AB125" s="76"/>
      <c r="AC125" s="76">
        <v>75000</v>
      </c>
      <c r="AD125" s="76"/>
      <c r="AE125" s="76">
        <v>0</v>
      </c>
      <c r="AF125" s="76"/>
      <c r="AG125" s="76">
        <v>0</v>
      </c>
      <c r="AH125" s="76"/>
      <c r="AI125" s="76">
        <f t="shared" si="1"/>
        <v>5686783</v>
      </c>
      <c r="AJ125" s="10"/>
      <c r="AK125" s="22"/>
      <c r="AL125" s="22"/>
      <c r="AM125" s="22"/>
    </row>
    <row r="126" spans="1:39" ht="12" customHeight="1" x14ac:dyDescent="0.2">
      <c r="A126" s="1" t="s">
        <v>311</v>
      </c>
      <c r="C126" s="1" t="s">
        <v>312</v>
      </c>
      <c r="E126" s="76">
        <v>2267</v>
      </c>
      <c r="F126" s="76"/>
      <c r="G126" s="76">
        <v>0</v>
      </c>
      <c r="H126" s="76"/>
      <c r="I126" s="76">
        <v>7502</v>
      </c>
      <c r="J126" s="76"/>
      <c r="K126" s="76">
        <v>0</v>
      </c>
      <c r="L126" s="76"/>
      <c r="M126" s="76">
        <v>0</v>
      </c>
      <c r="N126" s="76"/>
      <c r="O126" s="76">
        <v>5</v>
      </c>
      <c r="P126" s="76"/>
      <c r="Q126" s="76">
        <v>39</v>
      </c>
      <c r="R126" s="76"/>
      <c r="S126" s="76">
        <v>80</v>
      </c>
      <c r="T126" s="76"/>
      <c r="U126" s="76">
        <v>0</v>
      </c>
      <c r="V126" s="76"/>
      <c r="W126" s="76">
        <v>0</v>
      </c>
      <c r="X126" s="76"/>
      <c r="Y126" s="76">
        <v>0</v>
      </c>
      <c r="Z126" s="76"/>
      <c r="AA126" s="76">
        <v>0</v>
      </c>
      <c r="AB126" s="76"/>
      <c r="AC126" s="76">
        <v>0</v>
      </c>
      <c r="AD126" s="76"/>
      <c r="AE126" s="76">
        <v>0</v>
      </c>
      <c r="AF126" s="76"/>
      <c r="AG126" s="76">
        <v>0</v>
      </c>
      <c r="AH126" s="76"/>
      <c r="AI126" s="76">
        <f t="shared" si="1"/>
        <v>9893</v>
      </c>
      <c r="AJ126" s="10"/>
      <c r="AK126" s="21"/>
      <c r="AL126" s="21"/>
      <c r="AM126" s="21"/>
    </row>
    <row r="127" spans="1:39" s="21" customFormat="1" ht="12" customHeight="1" x14ac:dyDescent="0.2">
      <c r="A127" s="1" t="s">
        <v>273</v>
      </c>
      <c r="B127" s="1"/>
      <c r="C127" s="1" t="s">
        <v>271</v>
      </c>
      <c r="D127" s="1"/>
      <c r="E127" s="76">
        <v>38699.72</v>
      </c>
      <c r="F127" s="76"/>
      <c r="G127" s="76">
        <v>0</v>
      </c>
      <c r="H127" s="76"/>
      <c r="I127" s="76">
        <v>22514.61</v>
      </c>
      <c r="J127" s="76"/>
      <c r="K127" s="76">
        <v>0</v>
      </c>
      <c r="L127" s="76"/>
      <c r="M127" s="76">
        <v>0</v>
      </c>
      <c r="N127" s="76"/>
      <c r="O127" s="76">
        <v>520</v>
      </c>
      <c r="P127" s="76"/>
      <c r="Q127" s="76">
        <v>30.49</v>
      </c>
      <c r="R127" s="76"/>
      <c r="S127" s="76">
        <v>25432.84</v>
      </c>
      <c r="T127" s="76"/>
      <c r="U127" s="76">
        <v>0</v>
      </c>
      <c r="V127" s="76"/>
      <c r="W127" s="76">
        <v>0</v>
      </c>
      <c r="X127" s="76"/>
      <c r="Y127" s="76">
        <v>0</v>
      </c>
      <c r="Z127" s="76"/>
      <c r="AA127" s="76">
        <v>0</v>
      </c>
      <c r="AB127" s="76"/>
      <c r="AC127" s="76">
        <v>0</v>
      </c>
      <c r="AD127" s="76"/>
      <c r="AE127" s="76">
        <v>0</v>
      </c>
      <c r="AF127" s="76"/>
      <c r="AG127" s="76">
        <f>1735.95+2900</f>
        <v>4635.95</v>
      </c>
      <c r="AH127"/>
      <c r="AI127" s="76">
        <f t="shared" si="1"/>
        <v>91833.61</v>
      </c>
      <c r="AJ127" s="10"/>
      <c r="AK127" s="22"/>
      <c r="AL127" s="22"/>
      <c r="AM127" s="22"/>
    </row>
    <row r="128" spans="1:39" s="10" customFormat="1" ht="12" customHeight="1" x14ac:dyDescent="0.2">
      <c r="A128" s="15" t="s">
        <v>660</v>
      </c>
      <c r="B128" s="15"/>
      <c r="C128" s="15" t="s">
        <v>661</v>
      </c>
      <c r="D128" s="15"/>
      <c r="E128" s="76">
        <v>6925</v>
      </c>
      <c r="F128" s="76"/>
      <c r="G128" s="76">
        <v>0</v>
      </c>
      <c r="H128" s="76"/>
      <c r="I128" s="76">
        <v>2412</v>
      </c>
      <c r="J128" s="76"/>
      <c r="K128" s="76">
        <v>0</v>
      </c>
      <c r="L128" s="76"/>
      <c r="M128" s="76">
        <v>0</v>
      </c>
      <c r="N128" s="76"/>
      <c r="O128" s="76">
        <v>0</v>
      </c>
      <c r="P128" s="76"/>
      <c r="Q128" s="76">
        <v>6</v>
      </c>
      <c r="R128" s="76"/>
      <c r="S128" s="76">
        <v>1957</v>
      </c>
      <c r="T128" s="76"/>
      <c r="U128" s="76">
        <v>0</v>
      </c>
      <c r="V128" s="76"/>
      <c r="W128" s="76">
        <v>0</v>
      </c>
      <c r="X128" s="76"/>
      <c r="Y128" s="76">
        <v>0</v>
      </c>
      <c r="Z128" s="76"/>
      <c r="AA128" s="76">
        <v>0</v>
      </c>
      <c r="AB128" s="76"/>
      <c r="AC128" s="76">
        <v>0</v>
      </c>
      <c r="AD128" s="76"/>
      <c r="AE128" s="76">
        <v>0</v>
      </c>
      <c r="AF128" s="76"/>
      <c r="AG128" s="76">
        <v>0</v>
      </c>
      <c r="AH128" s="77"/>
      <c r="AI128" s="76">
        <f t="shared" si="1"/>
        <v>11300</v>
      </c>
      <c r="AJ128" s="24"/>
      <c r="AK128" s="31"/>
      <c r="AL128" s="31"/>
      <c r="AM128" s="31"/>
    </row>
    <row r="129" spans="1:39" ht="12" customHeight="1" x14ac:dyDescent="0.2">
      <c r="A129" s="1" t="s">
        <v>436</v>
      </c>
      <c r="C129" s="1" t="s">
        <v>437</v>
      </c>
      <c r="E129" s="76">
        <v>21906.38</v>
      </c>
      <c r="F129" s="76"/>
      <c r="G129" s="76">
        <v>0</v>
      </c>
      <c r="H129" s="76"/>
      <c r="I129" s="76">
        <v>26864.23</v>
      </c>
      <c r="J129" s="76"/>
      <c r="K129" s="76">
        <v>0</v>
      </c>
      <c r="L129" s="76"/>
      <c r="M129" s="76">
        <v>0</v>
      </c>
      <c r="N129" s="76"/>
      <c r="O129" s="76">
        <v>158417.01</v>
      </c>
      <c r="P129" s="76"/>
      <c r="Q129" s="76">
        <v>50.57</v>
      </c>
      <c r="R129" s="76"/>
      <c r="S129" s="76">
        <v>6645.47</v>
      </c>
      <c r="T129" s="76"/>
      <c r="U129" s="76">
        <v>0</v>
      </c>
      <c r="V129" s="76"/>
      <c r="W129" s="76">
        <v>0</v>
      </c>
      <c r="X129" s="76"/>
      <c r="Y129" s="76">
        <v>0</v>
      </c>
      <c r="Z129" s="76"/>
      <c r="AA129" s="76">
        <v>0</v>
      </c>
      <c r="AB129" s="76"/>
      <c r="AC129" s="76">
        <v>0</v>
      </c>
      <c r="AD129" s="76"/>
      <c r="AE129" s="76">
        <v>0</v>
      </c>
      <c r="AF129" s="76"/>
      <c r="AG129" s="76">
        <v>0</v>
      </c>
      <c r="AH129"/>
      <c r="AI129" s="76">
        <f t="shared" si="1"/>
        <v>213883.66</v>
      </c>
      <c r="AJ129" s="10"/>
    </row>
    <row r="130" spans="1:39" s="21" customFormat="1" ht="12" customHeight="1" x14ac:dyDescent="0.2">
      <c r="A130" s="1" t="s">
        <v>79</v>
      </c>
      <c r="B130" s="1"/>
      <c r="C130" s="1" t="s">
        <v>760</v>
      </c>
      <c r="D130" s="1"/>
      <c r="E130" s="76">
        <v>827.55</v>
      </c>
      <c r="F130" s="76"/>
      <c r="G130" s="76">
        <v>0</v>
      </c>
      <c r="H130" s="76"/>
      <c r="I130" s="76">
        <v>44396.97</v>
      </c>
      <c r="J130" s="76"/>
      <c r="K130" s="76">
        <v>0</v>
      </c>
      <c r="L130" s="76"/>
      <c r="M130" s="76">
        <v>0</v>
      </c>
      <c r="N130" s="76"/>
      <c r="O130" s="76">
        <v>834.95</v>
      </c>
      <c r="P130" s="76"/>
      <c r="Q130" s="76">
        <v>27.05</v>
      </c>
      <c r="R130" s="76"/>
      <c r="S130" s="76">
        <v>10962.12</v>
      </c>
      <c r="T130" s="76"/>
      <c r="U130" s="76">
        <v>0</v>
      </c>
      <c r="V130" s="76"/>
      <c r="W130" s="76">
        <v>0</v>
      </c>
      <c r="X130" s="76"/>
      <c r="Y130" s="76">
        <v>0</v>
      </c>
      <c r="Z130" s="76"/>
      <c r="AA130" s="76">
        <v>0</v>
      </c>
      <c r="AB130" s="76"/>
      <c r="AC130" s="76">
        <v>0</v>
      </c>
      <c r="AD130" s="76"/>
      <c r="AE130" s="76">
        <v>0</v>
      </c>
      <c r="AF130" s="76"/>
      <c r="AG130" s="76">
        <v>0</v>
      </c>
      <c r="AH130"/>
      <c r="AI130" s="76">
        <f t="shared" si="1"/>
        <v>57048.640000000007</v>
      </c>
      <c r="AJ130" s="10"/>
    </row>
    <row r="131" spans="1:39" ht="12" customHeight="1" x14ac:dyDescent="0.2">
      <c r="A131" s="15" t="s">
        <v>881</v>
      </c>
      <c r="B131" s="15"/>
      <c r="C131" s="15" t="s">
        <v>882</v>
      </c>
      <c r="D131" s="15"/>
      <c r="E131" s="76">
        <v>2588</v>
      </c>
      <c r="F131" s="76"/>
      <c r="G131" s="76">
        <v>0</v>
      </c>
      <c r="H131" s="76"/>
      <c r="I131" s="76">
        <v>8993</v>
      </c>
      <c r="J131" s="76"/>
      <c r="K131" s="76">
        <v>0</v>
      </c>
      <c r="L131" s="76"/>
      <c r="M131" s="76">
        <v>35388</v>
      </c>
      <c r="N131" s="76"/>
      <c r="O131" s="76">
        <v>700</v>
      </c>
      <c r="P131" s="76"/>
      <c r="Q131" s="76">
        <v>3221</v>
      </c>
      <c r="R131" s="76"/>
      <c r="S131" s="76">
        <v>242</v>
      </c>
      <c r="T131" s="76"/>
      <c r="U131" s="76">
        <v>0</v>
      </c>
      <c r="V131" s="76"/>
      <c r="W131" s="76">
        <v>0</v>
      </c>
      <c r="X131" s="76"/>
      <c r="Y131" s="76">
        <v>0</v>
      </c>
      <c r="Z131" s="76"/>
      <c r="AA131" s="76">
        <v>0</v>
      </c>
      <c r="AB131" s="76"/>
      <c r="AC131" s="76">
        <v>0</v>
      </c>
      <c r="AD131" s="76"/>
      <c r="AE131" s="76">
        <v>0</v>
      </c>
      <c r="AF131" s="76"/>
      <c r="AG131" s="76">
        <v>0</v>
      </c>
      <c r="AH131" s="77"/>
      <c r="AI131" s="76">
        <f t="shared" si="1"/>
        <v>51132</v>
      </c>
      <c r="AJ131" s="24"/>
      <c r="AK131" s="15"/>
      <c r="AL131" s="15"/>
      <c r="AM131" s="15"/>
    </row>
    <row r="132" spans="1:39" ht="12" customHeight="1" x14ac:dyDescent="0.2">
      <c r="A132" s="1" t="s">
        <v>171</v>
      </c>
      <c r="C132" s="1" t="s">
        <v>788</v>
      </c>
      <c r="E132" s="76">
        <v>29490.53</v>
      </c>
      <c r="F132" s="76"/>
      <c r="G132" s="76">
        <v>0</v>
      </c>
      <c r="H132" s="76"/>
      <c r="I132" s="76">
        <v>15548.17</v>
      </c>
      <c r="J132" s="76"/>
      <c r="K132" s="76">
        <v>0</v>
      </c>
      <c r="L132" s="76"/>
      <c r="M132" s="76">
        <v>2091.36</v>
      </c>
      <c r="N132" s="76"/>
      <c r="O132" s="76">
        <v>2453.15</v>
      </c>
      <c r="P132" s="76"/>
      <c r="Q132" s="76">
        <v>28.3</v>
      </c>
      <c r="R132" s="76"/>
      <c r="S132" s="76">
        <v>0</v>
      </c>
      <c r="T132" s="76"/>
      <c r="U132" s="76">
        <v>0</v>
      </c>
      <c r="V132" s="76"/>
      <c r="W132" s="76">
        <v>0</v>
      </c>
      <c r="X132" s="76"/>
      <c r="Y132" s="76">
        <v>0</v>
      </c>
      <c r="Z132" s="76"/>
      <c r="AA132" s="76">
        <v>0</v>
      </c>
      <c r="AB132" s="76"/>
      <c r="AC132" s="76">
        <v>0</v>
      </c>
      <c r="AD132" s="76"/>
      <c r="AE132" s="76">
        <v>0</v>
      </c>
      <c r="AF132" s="76"/>
      <c r="AG132" s="76">
        <v>0</v>
      </c>
      <c r="AH132" s="81"/>
      <c r="AI132" s="76">
        <f t="shared" si="1"/>
        <v>49611.51</v>
      </c>
      <c r="AJ132" s="10"/>
    </row>
    <row r="133" spans="1:39" s="21" customFormat="1" ht="12" customHeight="1" x14ac:dyDescent="0.2">
      <c r="A133" s="1" t="s">
        <v>838</v>
      </c>
      <c r="B133" s="1"/>
      <c r="C133" s="1" t="s">
        <v>783</v>
      </c>
      <c r="D133" s="1"/>
      <c r="E133" s="76">
        <v>33964.019999999997</v>
      </c>
      <c r="F133" s="76"/>
      <c r="G133" s="76">
        <v>0</v>
      </c>
      <c r="H133" s="76"/>
      <c r="I133" s="76">
        <v>26737.32</v>
      </c>
      <c r="J133" s="76"/>
      <c r="K133" s="76">
        <v>0</v>
      </c>
      <c r="L133" s="76"/>
      <c r="M133" s="76">
        <v>2581</v>
      </c>
      <c r="N133" s="76"/>
      <c r="O133" s="76">
        <v>50</v>
      </c>
      <c r="P133" s="76"/>
      <c r="Q133" s="76">
        <v>3893.5</v>
      </c>
      <c r="R133" s="76"/>
      <c r="S133" s="76">
        <v>452.12</v>
      </c>
      <c r="T133" s="76"/>
      <c r="U133" s="76">
        <v>0</v>
      </c>
      <c r="V133" s="76"/>
      <c r="W133" s="76">
        <v>0</v>
      </c>
      <c r="X133" s="76"/>
      <c r="Y133" s="76">
        <v>29634</v>
      </c>
      <c r="Z133" s="76"/>
      <c r="AA133" s="76">
        <v>0</v>
      </c>
      <c r="AB133" s="76"/>
      <c r="AC133" s="76">
        <v>0</v>
      </c>
      <c r="AD133" s="76"/>
      <c r="AE133" s="76">
        <v>0</v>
      </c>
      <c r="AF133" s="76"/>
      <c r="AG133" s="76">
        <v>0</v>
      </c>
      <c r="AH133"/>
      <c r="AI133" s="76">
        <f t="shared" si="1"/>
        <v>97311.959999999992</v>
      </c>
      <c r="AJ133" s="10"/>
      <c r="AK133" s="1"/>
      <c r="AL133" s="1"/>
      <c r="AM133" s="1"/>
    </row>
    <row r="134" spans="1:39" ht="12" customHeight="1" x14ac:dyDescent="0.2">
      <c r="A134" s="1" t="s">
        <v>883</v>
      </c>
      <c r="C134" s="1" t="s">
        <v>295</v>
      </c>
      <c r="E134" s="76">
        <v>1524</v>
      </c>
      <c r="F134" s="76"/>
      <c r="G134" s="76">
        <v>0</v>
      </c>
      <c r="H134" s="76"/>
      <c r="I134" s="76">
        <v>15042</v>
      </c>
      <c r="J134" s="76"/>
      <c r="K134" s="76">
        <v>0</v>
      </c>
      <c r="L134" s="76"/>
      <c r="M134" s="76">
        <v>0</v>
      </c>
      <c r="N134" s="76"/>
      <c r="O134" s="76">
        <v>0</v>
      </c>
      <c r="P134" s="76"/>
      <c r="Q134" s="76">
        <v>30</v>
      </c>
      <c r="R134" s="76"/>
      <c r="S134" s="76">
        <v>2373</v>
      </c>
      <c r="T134" s="76"/>
      <c r="U134" s="76">
        <v>0</v>
      </c>
      <c r="V134" s="76"/>
      <c r="W134" s="76">
        <v>0</v>
      </c>
      <c r="X134" s="76"/>
      <c r="Y134" s="76">
        <v>0</v>
      </c>
      <c r="Z134" s="76"/>
      <c r="AA134" s="76">
        <v>0</v>
      </c>
      <c r="AB134" s="76"/>
      <c r="AC134" s="76">
        <v>0</v>
      </c>
      <c r="AD134" s="76"/>
      <c r="AE134" s="76">
        <v>0</v>
      </c>
      <c r="AF134" s="76"/>
      <c r="AG134" s="76">
        <v>0</v>
      </c>
      <c r="AH134" s="76"/>
      <c r="AI134" s="76">
        <f t="shared" si="1"/>
        <v>18969</v>
      </c>
      <c r="AJ134" s="10"/>
    </row>
    <row r="135" spans="1:39" s="21" customFormat="1" ht="12" customHeight="1" x14ac:dyDescent="0.2">
      <c r="A135" s="1" t="s">
        <v>152</v>
      </c>
      <c r="B135" s="1"/>
      <c r="C135" s="1" t="s">
        <v>781</v>
      </c>
      <c r="D135" s="1"/>
      <c r="E135" s="76">
        <v>103403.67</v>
      </c>
      <c r="F135" s="76"/>
      <c r="G135" s="76">
        <v>0</v>
      </c>
      <c r="H135" s="76"/>
      <c r="I135" s="76">
        <v>50611.78</v>
      </c>
      <c r="J135" s="76"/>
      <c r="K135" s="76">
        <v>0</v>
      </c>
      <c r="L135" s="76"/>
      <c r="M135" s="76">
        <v>0</v>
      </c>
      <c r="N135" s="76"/>
      <c r="O135" s="76">
        <v>2005</v>
      </c>
      <c r="P135" s="76"/>
      <c r="Q135" s="76">
        <v>251.76</v>
      </c>
      <c r="R135" s="76"/>
      <c r="S135" s="76">
        <v>25388.639999999999</v>
      </c>
      <c r="T135" s="76"/>
      <c r="U135" s="76">
        <v>0</v>
      </c>
      <c r="V135" s="76"/>
      <c r="W135" s="76">
        <v>0</v>
      </c>
      <c r="X135" s="76"/>
      <c r="Y135" s="76">
        <v>0</v>
      </c>
      <c r="Z135" s="76"/>
      <c r="AA135" s="76">
        <v>0</v>
      </c>
      <c r="AB135" s="76"/>
      <c r="AC135" s="76">
        <v>0</v>
      </c>
      <c r="AD135" s="76"/>
      <c r="AE135" s="76">
        <v>0</v>
      </c>
      <c r="AF135" s="76"/>
      <c r="AG135" s="76">
        <v>0</v>
      </c>
      <c r="AH135" s="81"/>
      <c r="AI135" s="76">
        <f t="shared" si="1"/>
        <v>181660.85000000003</v>
      </c>
      <c r="AJ135" s="10"/>
      <c r="AK135" s="1"/>
      <c r="AL135" s="1"/>
      <c r="AM135" s="1"/>
    </row>
    <row r="136" spans="1:39" ht="12" customHeight="1" x14ac:dyDescent="0.2">
      <c r="A136" s="1" t="s">
        <v>32</v>
      </c>
      <c r="C136" s="1" t="s">
        <v>745</v>
      </c>
      <c r="E136" s="76">
        <v>17712.759999999998</v>
      </c>
      <c r="F136" s="76"/>
      <c r="G136" s="76">
        <v>0</v>
      </c>
      <c r="H136" s="76"/>
      <c r="I136" s="76">
        <v>18014.27</v>
      </c>
      <c r="J136" s="76"/>
      <c r="K136" s="76">
        <v>0</v>
      </c>
      <c r="L136" s="76"/>
      <c r="M136" s="76">
        <v>0</v>
      </c>
      <c r="N136" s="76"/>
      <c r="O136" s="76">
        <v>88</v>
      </c>
      <c r="P136" s="76"/>
      <c r="Q136" s="76">
        <v>825.18</v>
      </c>
      <c r="R136" s="76"/>
      <c r="S136" s="76">
        <v>337.53</v>
      </c>
      <c r="T136" s="76"/>
      <c r="U136" s="76">
        <v>0</v>
      </c>
      <c r="V136" s="76"/>
      <c r="W136" s="76">
        <v>0</v>
      </c>
      <c r="X136" s="76"/>
      <c r="Y136" s="76">
        <v>0</v>
      </c>
      <c r="Z136" s="76"/>
      <c r="AA136" s="76">
        <v>0</v>
      </c>
      <c r="AB136" s="76"/>
      <c r="AC136" s="76">
        <v>0</v>
      </c>
      <c r="AD136" s="76"/>
      <c r="AE136" s="76">
        <v>0</v>
      </c>
      <c r="AF136" s="76"/>
      <c r="AG136" s="76">
        <v>0</v>
      </c>
      <c r="AH136" s="81"/>
      <c r="AI136" s="76">
        <f t="shared" si="1"/>
        <v>36977.74</v>
      </c>
      <c r="AJ136" s="10"/>
      <c r="AK136" s="22"/>
      <c r="AL136" s="22"/>
      <c r="AM136" s="22"/>
    </row>
    <row r="137" spans="1:39" ht="12" customHeight="1" x14ac:dyDescent="0.2">
      <c r="A137" s="1" t="s">
        <v>211</v>
      </c>
      <c r="C137" s="1" t="s">
        <v>799</v>
      </c>
      <c r="E137" s="76">
        <v>7578.81</v>
      </c>
      <c r="F137" s="76"/>
      <c r="G137" s="76">
        <v>0</v>
      </c>
      <c r="H137" s="76"/>
      <c r="I137" s="76">
        <v>31278.71</v>
      </c>
      <c r="J137" s="76"/>
      <c r="K137" s="76">
        <v>0</v>
      </c>
      <c r="L137" s="76"/>
      <c r="M137" s="76">
        <v>51</v>
      </c>
      <c r="N137" s="76"/>
      <c r="O137" s="76">
        <v>3053.73</v>
      </c>
      <c r="P137" s="76"/>
      <c r="Q137" s="76">
        <v>339.8</v>
      </c>
      <c r="R137" s="76"/>
      <c r="S137" s="76">
        <v>6039.95</v>
      </c>
      <c r="T137" s="76"/>
      <c r="U137" s="76">
        <v>0</v>
      </c>
      <c r="V137" s="76"/>
      <c r="W137" s="76">
        <v>0</v>
      </c>
      <c r="X137" s="76"/>
      <c r="Y137" s="76">
        <v>0</v>
      </c>
      <c r="Z137" s="76"/>
      <c r="AA137" s="76">
        <v>0</v>
      </c>
      <c r="AB137" s="76"/>
      <c r="AC137" s="76">
        <v>0</v>
      </c>
      <c r="AD137" s="76"/>
      <c r="AE137" s="76">
        <v>0</v>
      </c>
      <c r="AF137" s="76"/>
      <c r="AG137" s="76">
        <v>0</v>
      </c>
      <c r="AH137"/>
      <c r="AI137" s="76">
        <f t="shared" si="1"/>
        <v>48342</v>
      </c>
      <c r="AJ137" s="10"/>
    </row>
    <row r="138" spans="1:39" ht="12" hidden="1" customHeight="1" x14ac:dyDescent="0.2">
      <c r="A138" s="1" t="s">
        <v>300</v>
      </c>
      <c r="C138" s="1" t="s">
        <v>299</v>
      </c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/>
      <c r="AI138" s="76">
        <f t="shared" si="1"/>
        <v>0</v>
      </c>
      <c r="AJ138" s="10"/>
    </row>
    <row r="139" spans="1:39" ht="12" customHeight="1" x14ac:dyDescent="0.2">
      <c r="A139" s="1" t="s">
        <v>179</v>
      </c>
      <c r="C139" s="1" t="s">
        <v>791</v>
      </c>
      <c r="E139" s="76">
        <v>8070.44</v>
      </c>
      <c r="F139" s="76"/>
      <c r="G139" s="76">
        <v>0</v>
      </c>
      <c r="H139" s="76"/>
      <c r="I139" s="76">
        <v>14957.24</v>
      </c>
      <c r="J139" s="76"/>
      <c r="K139" s="76">
        <v>0</v>
      </c>
      <c r="L139" s="76"/>
      <c r="M139" s="76">
        <v>4729</v>
      </c>
      <c r="N139" s="76"/>
      <c r="O139" s="76">
        <v>1490.03</v>
      </c>
      <c r="P139" s="76"/>
      <c r="Q139" s="76">
        <v>243.63</v>
      </c>
      <c r="R139" s="76"/>
      <c r="S139" s="76">
        <v>0</v>
      </c>
      <c r="T139" s="76"/>
      <c r="U139" s="76">
        <v>0</v>
      </c>
      <c r="V139" s="76"/>
      <c r="W139" s="76">
        <v>0</v>
      </c>
      <c r="X139" s="76"/>
      <c r="Y139" s="76">
        <v>0</v>
      </c>
      <c r="Z139" s="76"/>
      <c r="AA139" s="76">
        <v>32500</v>
      </c>
      <c r="AB139" s="76"/>
      <c r="AC139" s="76">
        <v>0</v>
      </c>
      <c r="AD139" s="76"/>
      <c r="AE139" s="76">
        <v>0</v>
      </c>
      <c r="AF139" s="76"/>
      <c r="AG139" s="76">
        <v>0</v>
      </c>
      <c r="AH139"/>
      <c r="AI139" s="76">
        <f t="shared" si="1"/>
        <v>61990.34</v>
      </c>
      <c r="AJ139" s="10"/>
    </row>
    <row r="140" spans="1:39" s="21" customFormat="1" ht="12" customHeight="1" x14ac:dyDescent="0.2">
      <c r="A140" s="1" t="s">
        <v>839</v>
      </c>
      <c r="B140" s="1"/>
      <c r="C140" s="1" t="s">
        <v>763</v>
      </c>
      <c r="D140" s="1"/>
      <c r="E140" s="76">
        <v>430516.18</v>
      </c>
      <c r="F140" s="76"/>
      <c r="G140" s="76">
        <v>0</v>
      </c>
      <c r="H140" s="76"/>
      <c r="I140" s="76">
        <v>124073.74</v>
      </c>
      <c r="J140" s="76"/>
      <c r="K140" s="76">
        <v>0</v>
      </c>
      <c r="L140" s="76"/>
      <c r="M140" s="76">
        <v>750</v>
      </c>
      <c r="N140" s="76"/>
      <c r="O140" s="76">
        <v>220948.11</v>
      </c>
      <c r="P140" s="76"/>
      <c r="Q140" s="76">
        <v>1479.21</v>
      </c>
      <c r="R140" s="76"/>
      <c r="S140" s="76">
        <v>55516.26</v>
      </c>
      <c r="T140" s="76"/>
      <c r="U140" s="76">
        <v>0</v>
      </c>
      <c r="V140" s="76"/>
      <c r="W140" s="76">
        <v>0</v>
      </c>
      <c r="X140" s="76"/>
      <c r="Y140" s="76">
        <v>0</v>
      </c>
      <c r="Z140" s="76"/>
      <c r="AA140" s="76">
        <v>0</v>
      </c>
      <c r="AB140" s="76"/>
      <c r="AC140" s="76">
        <v>0</v>
      </c>
      <c r="AD140" s="76"/>
      <c r="AE140" s="76">
        <v>0</v>
      </c>
      <c r="AF140" s="76"/>
      <c r="AG140" s="76">
        <v>0</v>
      </c>
      <c r="AH140" s="81"/>
      <c r="AI140" s="76">
        <f t="shared" ref="AI140:AI206" si="2">SUM(E140:AG140)</f>
        <v>833283.5</v>
      </c>
      <c r="AJ140" s="10"/>
      <c r="AK140" s="1"/>
      <c r="AL140" s="1"/>
      <c r="AM140" s="1"/>
    </row>
    <row r="141" spans="1:39" s="21" customFormat="1" ht="12" customHeight="1" x14ac:dyDescent="0.2">
      <c r="A141" s="1" t="s">
        <v>372</v>
      </c>
      <c r="B141" s="1"/>
      <c r="C141" s="1" t="s">
        <v>373</v>
      </c>
      <c r="D141" s="1"/>
      <c r="E141" s="76">
        <v>19849</v>
      </c>
      <c r="F141" s="76"/>
      <c r="G141" s="76">
        <v>0</v>
      </c>
      <c r="H141" s="76"/>
      <c r="I141" s="76">
        <v>1991</v>
      </c>
      <c r="J141" s="76"/>
      <c r="K141" s="76">
        <v>0</v>
      </c>
      <c r="L141" s="76"/>
      <c r="M141" s="76">
        <v>3960</v>
      </c>
      <c r="N141" s="76"/>
      <c r="O141" s="76">
        <v>25</v>
      </c>
      <c r="P141" s="76"/>
      <c r="Q141" s="76">
        <v>3</v>
      </c>
      <c r="R141" s="76"/>
      <c r="S141" s="76">
        <v>959</v>
      </c>
      <c r="T141" s="76"/>
      <c r="U141" s="76">
        <v>0</v>
      </c>
      <c r="V141" s="76"/>
      <c r="W141" s="76">
        <v>0</v>
      </c>
      <c r="X141" s="76"/>
      <c r="Y141" s="76">
        <v>0</v>
      </c>
      <c r="Z141" s="76"/>
      <c r="AA141" s="76">
        <v>0</v>
      </c>
      <c r="AB141" s="76"/>
      <c r="AC141" s="76">
        <v>0</v>
      </c>
      <c r="AD141" s="76"/>
      <c r="AE141" s="76">
        <v>0</v>
      </c>
      <c r="AF141" s="76"/>
      <c r="AG141" s="76">
        <v>0</v>
      </c>
      <c r="AH141" s="76"/>
      <c r="AI141" s="76">
        <f t="shared" si="2"/>
        <v>26787</v>
      </c>
      <c r="AJ141" s="10"/>
    </row>
    <row r="142" spans="1:39" ht="12" customHeight="1" x14ac:dyDescent="0.2">
      <c r="A142" s="1" t="s">
        <v>299</v>
      </c>
      <c r="C142" s="1" t="s">
        <v>549</v>
      </c>
      <c r="E142" s="76">
        <v>77592.820000000007</v>
      </c>
      <c r="F142" s="76"/>
      <c r="G142" s="76">
        <v>108162.68</v>
      </c>
      <c r="H142" s="76"/>
      <c r="I142" s="76">
        <v>62538.87</v>
      </c>
      <c r="J142" s="76"/>
      <c r="K142" s="76">
        <v>0</v>
      </c>
      <c r="L142" s="76"/>
      <c r="M142" s="76">
        <v>2155</v>
      </c>
      <c r="N142" s="76"/>
      <c r="O142" s="76">
        <v>13546.53</v>
      </c>
      <c r="P142" s="76"/>
      <c r="Q142" s="76">
        <v>136.07</v>
      </c>
      <c r="R142" s="76"/>
      <c r="S142" s="76">
        <v>1161.5</v>
      </c>
      <c r="T142" s="76"/>
      <c r="U142" s="76">
        <v>0</v>
      </c>
      <c r="V142" s="76"/>
      <c r="W142" s="76">
        <v>0</v>
      </c>
      <c r="X142" s="76"/>
      <c r="Y142" s="76">
        <v>0</v>
      </c>
      <c r="Z142" s="76"/>
      <c r="AA142" s="76">
        <v>0</v>
      </c>
      <c r="AB142" s="76"/>
      <c r="AC142" s="76">
        <v>0</v>
      </c>
      <c r="AD142" s="76"/>
      <c r="AE142" s="76">
        <v>0</v>
      </c>
      <c r="AF142" s="76"/>
      <c r="AG142" s="76">
        <v>0</v>
      </c>
      <c r="AH142"/>
      <c r="AI142" s="76">
        <f t="shared" si="2"/>
        <v>265293.47000000003</v>
      </c>
      <c r="AJ142" s="10"/>
      <c r="AK142" s="21"/>
      <c r="AL142" s="21"/>
      <c r="AM142" s="21"/>
    </row>
    <row r="143" spans="1:39" s="21" customFormat="1" ht="12" customHeight="1" x14ac:dyDescent="0.2">
      <c r="A143" s="15" t="s">
        <v>662</v>
      </c>
      <c r="B143" s="15"/>
      <c r="C143" s="15" t="s">
        <v>513</v>
      </c>
      <c r="D143" s="15"/>
      <c r="E143" s="76">
        <v>2220.7800000000002</v>
      </c>
      <c r="F143" s="76"/>
      <c r="G143" s="76">
        <v>0</v>
      </c>
      <c r="H143" s="76"/>
      <c r="I143" s="76">
        <v>29487.99</v>
      </c>
      <c r="J143" s="76"/>
      <c r="K143" s="76">
        <v>0</v>
      </c>
      <c r="L143" s="76"/>
      <c r="M143" s="76">
        <v>0</v>
      </c>
      <c r="N143" s="76"/>
      <c r="O143" s="76">
        <v>0</v>
      </c>
      <c r="P143" s="76"/>
      <c r="Q143" s="76">
        <v>113.95</v>
      </c>
      <c r="R143" s="76"/>
      <c r="S143" s="76">
        <v>322.3</v>
      </c>
      <c r="T143" s="76"/>
      <c r="U143" s="76">
        <v>0</v>
      </c>
      <c r="V143" s="76"/>
      <c r="W143" s="76">
        <v>0</v>
      </c>
      <c r="X143" s="76"/>
      <c r="Y143" s="76">
        <v>0</v>
      </c>
      <c r="Z143" s="76"/>
      <c r="AA143" s="76">
        <v>0</v>
      </c>
      <c r="AB143" s="76"/>
      <c r="AC143" s="76">
        <v>0</v>
      </c>
      <c r="AD143" s="76"/>
      <c r="AE143" s="76">
        <v>0</v>
      </c>
      <c r="AF143" s="76"/>
      <c r="AG143" s="76">
        <v>0</v>
      </c>
      <c r="AH143"/>
      <c r="AI143" s="76">
        <f t="shared" si="2"/>
        <v>32145.02</v>
      </c>
      <c r="AJ143" s="24"/>
      <c r="AK143" s="15"/>
      <c r="AL143" s="15"/>
      <c r="AM143" s="15"/>
    </row>
    <row r="144" spans="1:39" ht="12" customHeight="1" x14ac:dyDescent="0.2">
      <c r="A144" s="1" t="s">
        <v>125</v>
      </c>
      <c r="C144" s="1" t="s">
        <v>773</v>
      </c>
      <c r="E144" s="76">
        <v>48418.94</v>
      </c>
      <c r="F144" s="76"/>
      <c r="G144" s="76">
        <v>256836.12</v>
      </c>
      <c r="H144" s="76"/>
      <c r="I144" s="76">
        <v>19166.47</v>
      </c>
      <c r="J144" s="76"/>
      <c r="K144" s="76">
        <v>0</v>
      </c>
      <c r="L144" s="76"/>
      <c r="M144" s="76">
        <v>1575</v>
      </c>
      <c r="N144" s="76"/>
      <c r="O144" s="76">
        <v>208103.71</v>
      </c>
      <c r="P144" s="76"/>
      <c r="Q144" s="76">
        <v>0</v>
      </c>
      <c r="R144" s="76"/>
      <c r="S144" s="76">
        <v>17006.73</v>
      </c>
      <c r="T144" s="76"/>
      <c r="U144" s="76">
        <v>0</v>
      </c>
      <c r="V144" s="76"/>
      <c r="W144" s="76">
        <v>0</v>
      </c>
      <c r="X144" s="76"/>
      <c r="Y144" s="76">
        <v>7100</v>
      </c>
      <c r="Z144" s="76"/>
      <c r="AA144" s="76">
        <v>0</v>
      </c>
      <c r="AB144" s="76"/>
      <c r="AC144" s="76">
        <v>32259.05</v>
      </c>
      <c r="AD144" s="76"/>
      <c r="AE144" s="76">
        <v>0</v>
      </c>
      <c r="AF144" s="76"/>
      <c r="AG144" s="76">
        <v>0</v>
      </c>
      <c r="AH144"/>
      <c r="AI144" s="76">
        <f t="shared" si="2"/>
        <v>590466.02</v>
      </c>
      <c r="AJ144" s="10"/>
      <c r="AK144" s="21"/>
      <c r="AL144" s="21"/>
      <c r="AM144" s="21"/>
    </row>
    <row r="145" spans="1:39" s="31" customFormat="1" ht="12" customHeight="1" x14ac:dyDescent="0.2">
      <c r="A145" s="1" t="s">
        <v>664</v>
      </c>
      <c r="B145" s="1"/>
      <c r="C145" s="1" t="s">
        <v>663</v>
      </c>
      <c r="D145" s="1"/>
      <c r="E145" s="76">
        <v>14943.24</v>
      </c>
      <c r="F145" s="76"/>
      <c r="G145" s="76">
        <v>0</v>
      </c>
      <c r="H145" s="76"/>
      <c r="I145" s="76">
        <v>41533.410000000003</v>
      </c>
      <c r="J145" s="76"/>
      <c r="K145" s="76">
        <v>0</v>
      </c>
      <c r="L145" s="76"/>
      <c r="M145" s="76">
        <v>0</v>
      </c>
      <c r="N145" s="76"/>
      <c r="O145" s="76">
        <v>28314.02</v>
      </c>
      <c r="P145" s="76"/>
      <c r="Q145" s="76">
        <v>25.78</v>
      </c>
      <c r="R145" s="76"/>
      <c r="S145" s="76">
        <v>90</v>
      </c>
      <c r="T145" s="76"/>
      <c r="U145" s="76">
        <v>0</v>
      </c>
      <c r="V145" s="76"/>
      <c r="W145" s="76">
        <v>0</v>
      </c>
      <c r="X145" s="76"/>
      <c r="Y145" s="76">
        <v>0</v>
      </c>
      <c r="Z145" s="76"/>
      <c r="AA145" s="76">
        <v>0</v>
      </c>
      <c r="AB145" s="76"/>
      <c r="AC145" s="76">
        <v>0</v>
      </c>
      <c r="AD145" s="76"/>
      <c r="AE145" s="76">
        <v>0</v>
      </c>
      <c r="AF145" s="76"/>
      <c r="AG145" s="76">
        <f>2151.68+1000</f>
        <v>3151.68</v>
      </c>
      <c r="AH145"/>
      <c r="AI145" s="76">
        <f t="shared" si="2"/>
        <v>88058.12999999999</v>
      </c>
      <c r="AJ145" s="10"/>
      <c r="AK145" s="21"/>
      <c r="AL145" s="21"/>
      <c r="AM145" s="21"/>
    </row>
    <row r="146" spans="1:39" ht="12" customHeight="1" x14ac:dyDescent="0.2">
      <c r="A146" s="1" t="s">
        <v>884</v>
      </c>
      <c r="C146" s="1" t="s">
        <v>466</v>
      </c>
      <c r="E146" s="76">
        <v>1640393</v>
      </c>
      <c r="F146" s="76"/>
      <c r="G146" s="76">
        <v>0</v>
      </c>
      <c r="H146" s="76"/>
      <c r="I146" s="76">
        <f>172532+5396</f>
        <v>177928</v>
      </c>
      <c r="J146" s="76"/>
      <c r="K146" s="76">
        <v>0</v>
      </c>
      <c r="L146" s="76"/>
      <c r="M146" s="76">
        <v>53599</v>
      </c>
      <c r="N146" s="76"/>
      <c r="O146" s="76">
        <v>17019</v>
      </c>
      <c r="P146" s="76"/>
      <c r="Q146" s="76">
        <v>258</v>
      </c>
      <c r="R146" s="76"/>
      <c r="S146" s="76">
        <v>21313</v>
      </c>
      <c r="T146" s="76"/>
      <c r="U146" s="76">
        <v>0</v>
      </c>
      <c r="V146" s="76"/>
      <c r="W146" s="76">
        <v>0</v>
      </c>
      <c r="X146" s="76"/>
      <c r="Y146" s="76">
        <v>0</v>
      </c>
      <c r="Z146" s="76"/>
      <c r="AA146" s="76">
        <v>0</v>
      </c>
      <c r="AB146" s="76"/>
      <c r="AC146" s="76">
        <v>0</v>
      </c>
      <c r="AD146" s="76"/>
      <c r="AE146" s="76">
        <v>22853</v>
      </c>
      <c r="AF146" s="76"/>
      <c r="AG146" s="76">
        <v>0</v>
      </c>
      <c r="AH146" s="76"/>
      <c r="AI146" s="76">
        <f t="shared" si="2"/>
        <v>1933363</v>
      </c>
      <c r="AJ146" s="10"/>
    </row>
    <row r="147" spans="1:39" ht="12" customHeight="1" x14ac:dyDescent="0.2">
      <c r="A147" s="1" t="s">
        <v>199</v>
      </c>
      <c r="C147" s="1" t="s">
        <v>796</v>
      </c>
      <c r="E147" s="76">
        <v>14459.27</v>
      </c>
      <c r="F147" s="76"/>
      <c r="G147" s="76">
        <v>0</v>
      </c>
      <c r="H147" s="76"/>
      <c r="I147" s="76">
        <v>28454.26</v>
      </c>
      <c r="J147" s="76"/>
      <c r="K147" s="76">
        <v>0</v>
      </c>
      <c r="L147" s="76"/>
      <c r="M147" s="76">
        <v>22000</v>
      </c>
      <c r="N147" s="76"/>
      <c r="O147" s="76">
        <v>2298.5300000000002</v>
      </c>
      <c r="P147" s="76"/>
      <c r="Q147" s="76">
        <v>288.67</v>
      </c>
      <c r="R147" s="76"/>
      <c r="S147" s="76">
        <v>0</v>
      </c>
      <c r="T147" s="76"/>
      <c r="U147" s="76">
        <v>0</v>
      </c>
      <c r="V147" s="76"/>
      <c r="W147" s="76">
        <v>0</v>
      </c>
      <c r="X147" s="76"/>
      <c r="Y147" s="76">
        <v>0</v>
      </c>
      <c r="Z147" s="76"/>
      <c r="AA147" s="76">
        <v>0</v>
      </c>
      <c r="AB147" s="76"/>
      <c r="AC147" s="76">
        <v>0</v>
      </c>
      <c r="AD147" s="76"/>
      <c r="AE147" s="76">
        <v>0</v>
      </c>
      <c r="AF147" s="76"/>
      <c r="AG147" s="76">
        <v>0</v>
      </c>
      <c r="AH147"/>
      <c r="AI147" s="76">
        <f t="shared" si="2"/>
        <v>67500.73</v>
      </c>
      <c r="AJ147" s="10"/>
    </row>
    <row r="148" spans="1:39" s="21" customFormat="1" ht="12" customHeight="1" x14ac:dyDescent="0.2">
      <c r="A148" s="1" t="s">
        <v>514</v>
      </c>
      <c r="B148" s="1"/>
      <c r="C148" s="1" t="s">
        <v>513</v>
      </c>
      <c r="D148" s="1"/>
      <c r="E148" s="76">
        <v>77917</v>
      </c>
      <c r="F148" s="76"/>
      <c r="G148" s="76">
        <v>457129</v>
      </c>
      <c r="H148" s="76"/>
      <c r="I148" s="76">
        <v>104177</v>
      </c>
      <c r="J148" s="76"/>
      <c r="K148" s="76">
        <v>0</v>
      </c>
      <c r="L148" s="76"/>
      <c r="M148" s="76">
        <v>62259</v>
      </c>
      <c r="N148" s="76"/>
      <c r="O148" s="76">
        <v>607</v>
      </c>
      <c r="P148" s="76"/>
      <c r="Q148" s="76">
        <v>9565</v>
      </c>
      <c r="R148" s="76"/>
      <c r="S148" s="76">
        <v>17295</v>
      </c>
      <c r="T148" s="76"/>
      <c r="U148" s="76">
        <v>0</v>
      </c>
      <c r="V148" s="76"/>
      <c r="W148" s="76">
        <v>0</v>
      </c>
      <c r="X148" s="76"/>
      <c r="Y148" s="76">
        <v>0</v>
      </c>
      <c r="Z148" s="76"/>
      <c r="AA148" s="76">
        <v>0</v>
      </c>
      <c r="AB148" s="76"/>
      <c r="AC148" s="76">
        <v>0</v>
      </c>
      <c r="AD148" s="76"/>
      <c r="AE148" s="76">
        <v>0</v>
      </c>
      <c r="AF148" s="76"/>
      <c r="AG148" s="76">
        <v>0</v>
      </c>
      <c r="AH148" s="76"/>
      <c r="AI148" s="76">
        <f t="shared" si="2"/>
        <v>728949</v>
      </c>
      <c r="AJ148" s="10"/>
      <c r="AK148" s="1"/>
      <c r="AL148" s="1"/>
      <c r="AM148" s="1"/>
    </row>
    <row r="149" spans="1:39" ht="12" customHeight="1" x14ac:dyDescent="0.2">
      <c r="A149" s="1" t="s">
        <v>188</v>
      </c>
      <c r="C149" s="1" t="s">
        <v>793</v>
      </c>
      <c r="E149" s="76">
        <v>57045.8</v>
      </c>
      <c r="F149" s="76"/>
      <c r="G149" s="76">
        <v>394179</v>
      </c>
      <c r="H149" s="76"/>
      <c r="I149" s="76">
        <v>22000.55</v>
      </c>
      <c r="J149" s="76"/>
      <c r="K149" s="76">
        <v>0</v>
      </c>
      <c r="L149" s="76"/>
      <c r="M149" s="76">
        <v>0</v>
      </c>
      <c r="N149" s="76"/>
      <c r="O149" s="76">
        <v>24057.5</v>
      </c>
      <c r="P149" s="76"/>
      <c r="Q149" s="76">
        <v>1613.56</v>
      </c>
      <c r="R149" s="76"/>
      <c r="S149" s="76">
        <v>3701.01</v>
      </c>
      <c r="T149" s="76"/>
      <c r="U149" s="76">
        <v>0</v>
      </c>
      <c r="V149" s="76"/>
      <c r="W149" s="76">
        <v>0</v>
      </c>
      <c r="X149" s="76"/>
      <c r="Y149" s="76">
        <v>0</v>
      </c>
      <c r="Z149" s="76"/>
      <c r="AA149" s="76">
        <v>0</v>
      </c>
      <c r="AB149" s="76"/>
      <c r="AC149" s="76">
        <v>0</v>
      </c>
      <c r="AD149" s="76"/>
      <c r="AE149" s="76">
        <v>0</v>
      </c>
      <c r="AF149" s="76"/>
      <c r="AG149" s="76">
        <v>0</v>
      </c>
      <c r="AH149"/>
      <c r="AI149" s="76">
        <f t="shared" si="2"/>
        <v>502597.42</v>
      </c>
      <c r="AJ149" s="36"/>
    </row>
    <row r="150" spans="1:39" ht="12" hidden="1" customHeight="1" x14ac:dyDescent="0.2">
      <c r="A150" s="1" t="s">
        <v>307</v>
      </c>
      <c r="C150" s="1" t="s">
        <v>308</v>
      </c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/>
      <c r="AI150" s="76">
        <f t="shared" si="2"/>
        <v>0</v>
      </c>
      <c r="AJ150" s="36"/>
    </row>
    <row r="151" spans="1:39" s="21" customFormat="1" ht="12" customHeight="1" x14ac:dyDescent="0.2">
      <c r="A151" s="1" t="s">
        <v>918</v>
      </c>
      <c r="B151" s="1"/>
      <c r="C151" s="1" t="s">
        <v>588</v>
      </c>
      <c r="D151" s="1"/>
      <c r="E151" s="76">
        <v>22296.69</v>
      </c>
      <c r="F151" s="76"/>
      <c r="G151" s="76">
        <v>0</v>
      </c>
      <c r="H151" s="76"/>
      <c r="I151" s="76">
        <v>5998.47</v>
      </c>
      <c r="J151" s="76"/>
      <c r="K151" s="76">
        <v>0</v>
      </c>
      <c r="L151" s="76"/>
      <c r="M151" s="76">
        <v>0</v>
      </c>
      <c r="N151" s="76"/>
      <c r="O151" s="76">
        <v>0</v>
      </c>
      <c r="P151" s="76"/>
      <c r="Q151" s="76">
        <v>0</v>
      </c>
      <c r="R151" s="76"/>
      <c r="S151" s="76">
        <v>100</v>
      </c>
      <c r="T151" s="76"/>
      <c r="U151" s="76">
        <v>0</v>
      </c>
      <c r="V151" s="76"/>
      <c r="W151" s="76">
        <v>0</v>
      </c>
      <c r="X151" s="76"/>
      <c r="Y151" s="76">
        <v>0</v>
      </c>
      <c r="Z151" s="76"/>
      <c r="AA151" s="76">
        <v>0</v>
      </c>
      <c r="AB151" s="76"/>
      <c r="AC151" s="76">
        <v>0</v>
      </c>
      <c r="AD151" s="76"/>
      <c r="AE151" s="76">
        <v>0</v>
      </c>
      <c r="AF151" s="76"/>
      <c r="AG151" s="76">
        <v>0</v>
      </c>
      <c r="AH151" s="81"/>
      <c r="AI151" s="76">
        <f t="shared" si="2"/>
        <v>28395.16</v>
      </c>
      <c r="AJ151" s="10"/>
      <c r="AK151" s="22"/>
      <c r="AL151" s="22"/>
      <c r="AM151" s="22"/>
    </row>
    <row r="152" spans="1:39" s="15" customFormat="1" ht="12" customHeight="1" x14ac:dyDescent="0.2">
      <c r="A152" s="10" t="s">
        <v>202</v>
      </c>
      <c r="B152" s="10"/>
      <c r="C152" s="10" t="s">
        <v>797</v>
      </c>
      <c r="D152" s="10"/>
      <c r="E152" s="76">
        <v>67810.44</v>
      </c>
      <c r="F152" s="76"/>
      <c r="G152" s="76">
        <v>78300.27</v>
      </c>
      <c r="H152" s="76"/>
      <c r="I152" s="76">
        <v>68033.58</v>
      </c>
      <c r="J152" s="76"/>
      <c r="K152" s="76">
        <v>0</v>
      </c>
      <c r="L152" s="76"/>
      <c r="M152" s="76">
        <v>46800</v>
      </c>
      <c r="N152" s="76"/>
      <c r="O152" s="76">
        <v>3197.81</v>
      </c>
      <c r="P152" s="76"/>
      <c r="Q152" s="76">
        <v>119.96</v>
      </c>
      <c r="R152" s="76"/>
      <c r="S152" s="76">
        <v>16484.88</v>
      </c>
      <c r="T152" s="76"/>
      <c r="U152" s="76">
        <v>0</v>
      </c>
      <c r="V152" s="76"/>
      <c r="W152" s="76">
        <v>15295.28</v>
      </c>
      <c r="X152" s="76"/>
      <c r="Y152" s="76">
        <v>0</v>
      </c>
      <c r="Z152" s="76"/>
      <c r="AA152" s="76">
        <v>0</v>
      </c>
      <c r="AB152" s="76"/>
      <c r="AC152" s="76">
        <v>16000</v>
      </c>
      <c r="AD152" s="76"/>
      <c r="AE152" s="76">
        <v>0</v>
      </c>
      <c r="AF152" s="76"/>
      <c r="AG152" s="76">
        <v>0</v>
      </c>
      <c r="AH152"/>
      <c r="AI152" s="76">
        <f t="shared" si="2"/>
        <v>312042.22000000009</v>
      </c>
      <c r="AJ152" s="10"/>
      <c r="AK152" s="10"/>
      <c r="AL152" s="10"/>
      <c r="AM152" s="10"/>
    </row>
    <row r="153" spans="1:39" s="21" customFormat="1" ht="12" customHeight="1" x14ac:dyDescent="0.2">
      <c r="A153" s="1" t="s">
        <v>239</v>
      </c>
      <c r="B153" s="1"/>
      <c r="C153" s="1" t="s">
        <v>808</v>
      </c>
      <c r="D153" s="1"/>
      <c r="E153" s="76">
        <v>59573.75</v>
      </c>
      <c r="F153" s="76"/>
      <c r="G153" s="76">
        <v>134751.9</v>
      </c>
      <c r="H153" s="76"/>
      <c r="I153" s="76">
        <v>43793.93</v>
      </c>
      <c r="J153" s="76"/>
      <c r="K153" s="76">
        <v>0</v>
      </c>
      <c r="L153" s="76"/>
      <c r="M153" s="76">
        <v>72618.84</v>
      </c>
      <c r="N153" s="76"/>
      <c r="O153" s="76">
        <v>568</v>
      </c>
      <c r="P153" s="76"/>
      <c r="Q153" s="76">
        <v>6370.01</v>
      </c>
      <c r="R153" s="76"/>
      <c r="S153" s="76">
        <v>19072.21</v>
      </c>
      <c r="T153" s="76"/>
      <c r="U153" s="76">
        <v>0</v>
      </c>
      <c r="V153" s="76"/>
      <c r="W153" s="76">
        <v>0</v>
      </c>
      <c r="X153" s="76"/>
      <c r="Y153" s="76">
        <v>0</v>
      </c>
      <c r="Z153" s="76"/>
      <c r="AA153" s="76">
        <v>0</v>
      </c>
      <c r="AB153" s="76"/>
      <c r="AC153" s="76">
        <v>0</v>
      </c>
      <c r="AD153" s="76"/>
      <c r="AE153" s="76">
        <v>0</v>
      </c>
      <c r="AF153" s="76"/>
      <c r="AG153" s="76">
        <v>0</v>
      </c>
      <c r="AH153"/>
      <c r="AI153" s="76">
        <f t="shared" si="2"/>
        <v>336748.64</v>
      </c>
      <c r="AJ153" s="10"/>
      <c r="AK153" s="1"/>
      <c r="AL153" s="1"/>
      <c r="AM153" s="1"/>
    </row>
    <row r="154" spans="1:39" ht="12" customHeight="1" x14ac:dyDescent="0.2">
      <c r="A154" s="1" t="s">
        <v>919</v>
      </c>
      <c r="C154" s="1" t="s">
        <v>271</v>
      </c>
      <c r="E154" s="76">
        <v>15582.24</v>
      </c>
      <c r="F154" s="76"/>
      <c r="G154" s="76">
        <v>0</v>
      </c>
      <c r="H154" s="76"/>
      <c r="I154" s="76">
        <v>13842.87</v>
      </c>
      <c r="J154" s="76"/>
      <c r="K154" s="76">
        <v>0</v>
      </c>
      <c r="L154" s="76"/>
      <c r="M154" s="76">
        <v>7071.04</v>
      </c>
      <c r="N154" s="76"/>
      <c r="O154" s="76">
        <v>13518.49</v>
      </c>
      <c r="P154" s="76"/>
      <c r="Q154" s="76">
        <v>104.61</v>
      </c>
      <c r="R154" s="76"/>
      <c r="S154" s="76">
        <v>0</v>
      </c>
      <c r="T154" s="76"/>
      <c r="U154" s="76">
        <v>0</v>
      </c>
      <c r="V154" s="76"/>
      <c r="W154" s="76">
        <v>0</v>
      </c>
      <c r="X154" s="76"/>
      <c r="Y154" s="76">
        <v>0</v>
      </c>
      <c r="Z154" s="76"/>
      <c r="AA154" s="76">
        <v>0</v>
      </c>
      <c r="AB154" s="76"/>
      <c r="AC154" s="76">
        <v>0</v>
      </c>
      <c r="AD154" s="76"/>
      <c r="AE154" s="76">
        <v>0</v>
      </c>
      <c r="AF154" s="76"/>
      <c r="AG154" s="76">
        <v>0</v>
      </c>
      <c r="AH154"/>
      <c r="AI154" s="76">
        <f t="shared" si="2"/>
        <v>50119.25</v>
      </c>
      <c r="AJ154" s="10"/>
    </row>
    <row r="155" spans="1:39" s="21" customFormat="1" ht="12" customHeight="1" x14ac:dyDescent="0.2">
      <c r="A155" s="1" t="s">
        <v>186</v>
      </c>
      <c r="B155" s="1"/>
      <c r="C155" s="1" t="s">
        <v>433</v>
      </c>
      <c r="D155" s="1"/>
      <c r="E155" s="76">
        <v>32671.03</v>
      </c>
      <c r="F155" s="76"/>
      <c r="G155" s="76">
        <v>0</v>
      </c>
      <c r="H155" s="76"/>
      <c r="I155" s="76">
        <v>14336.72</v>
      </c>
      <c r="J155" s="76"/>
      <c r="K155" s="76">
        <v>0</v>
      </c>
      <c r="L155" s="76"/>
      <c r="M155" s="76">
        <v>0</v>
      </c>
      <c r="N155" s="76"/>
      <c r="O155" s="76">
        <v>336</v>
      </c>
      <c r="P155" s="76"/>
      <c r="Q155" s="76">
        <v>940.24</v>
      </c>
      <c r="R155" s="76"/>
      <c r="S155" s="76">
        <v>575.76</v>
      </c>
      <c r="T155" s="76"/>
      <c r="U155" s="76">
        <v>0</v>
      </c>
      <c r="V155" s="76"/>
      <c r="W155" s="76">
        <v>0</v>
      </c>
      <c r="X155" s="76"/>
      <c r="Y155" s="76">
        <v>0</v>
      </c>
      <c r="Z155" s="76"/>
      <c r="AA155" s="76">
        <v>0</v>
      </c>
      <c r="AB155" s="76"/>
      <c r="AC155" s="76">
        <v>0</v>
      </c>
      <c r="AD155" s="76"/>
      <c r="AE155" s="76">
        <v>0</v>
      </c>
      <c r="AF155" s="76"/>
      <c r="AG155" s="76">
        <v>0</v>
      </c>
      <c r="AH155"/>
      <c r="AI155" s="76">
        <f t="shared" si="2"/>
        <v>48859.75</v>
      </c>
      <c r="AJ155" s="10"/>
      <c r="AK155" s="1"/>
      <c r="AL155" s="1"/>
      <c r="AM155" s="1"/>
    </row>
    <row r="156" spans="1:39" ht="12" customHeight="1" x14ac:dyDescent="0.2">
      <c r="A156" s="1" t="s">
        <v>920</v>
      </c>
      <c r="C156" s="1" t="s">
        <v>484</v>
      </c>
      <c r="E156" s="76">
        <v>52742.18</v>
      </c>
      <c r="F156" s="76"/>
      <c r="G156" s="76">
        <v>320188.51</v>
      </c>
      <c r="H156" s="76"/>
      <c r="I156" s="76">
        <v>42808.480000000003</v>
      </c>
      <c r="J156" s="76"/>
      <c r="K156" s="76">
        <v>0</v>
      </c>
      <c r="L156" s="76"/>
      <c r="M156" s="76">
        <v>67393.279999999999</v>
      </c>
      <c r="N156" s="76"/>
      <c r="O156" s="76">
        <v>8365.34</v>
      </c>
      <c r="P156" s="76"/>
      <c r="Q156" s="76">
        <v>366.93</v>
      </c>
      <c r="R156" s="76"/>
      <c r="S156" s="76">
        <v>383826.3</v>
      </c>
      <c r="T156" s="76"/>
      <c r="U156" s="76">
        <v>0</v>
      </c>
      <c r="V156" s="76"/>
      <c r="W156" s="76">
        <v>0</v>
      </c>
      <c r="X156" s="76"/>
      <c r="Y156" s="76">
        <v>0</v>
      </c>
      <c r="Z156" s="76"/>
      <c r="AA156" s="76">
        <v>0</v>
      </c>
      <c r="AB156" s="76"/>
      <c r="AC156" s="76">
        <v>0</v>
      </c>
      <c r="AD156" s="76"/>
      <c r="AE156" s="76">
        <v>0</v>
      </c>
      <c r="AF156" s="76"/>
      <c r="AG156" s="76">
        <v>0</v>
      </c>
      <c r="AH156"/>
      <c r="AI156" s="76">
        <f t="shared" si="2"/>
        <v>875691.02</v>
      </c>
      <c r="AJ156" s="10"/>
    </row>
    <row r="157" spans="1:39" s="15" customFormat="1" ht="12" customHeight="1" x14ac:dyDescent="0.2">
      <c r="A157" s="1"/>
      <c r="B157" s="1"/>
      <c r="C157" s="1"/>
      <c r="D157" s="1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10"/>
      <c r="AK157" s="21"/>
      <c r="AL157" s="21"/>
      <c r="AM157" s="21"/>
    </row>
    <row r="158" spans="1:39" s="15" customFormat="1" ht="12" customHeight="1" x14ac:dyDescent="0.2">
      <c r="A158" s="1"/>
      <c r="B158" s="1"/>
      <c r="C158" s="1"/>
      <c r="D158" s="1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 t="s">
        <v>850</v>
      </c>
      <c r="AJ158" s="10"/>
      <c r="AK158" s="21"/>
      <c r="AL158" s="21"/>
      <c r="AM158" s="21"/>
    </row>
    <row r="159" spans="1:39" s="15" customFormat="1" ht="12" customHeight="1" x14ac:dyDescent="0.2">
      <c r="A159" s="1"/>
      <c r="B159" s="1"/>
      <c r="C159" s="1"/>
      <c r="D159" s="1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10"/>
      <c r="AK159" s="21"/>
      <c r="AL159" s="21"/>
      <c r="AM159" s="21"/>
    </row>
    <row r="160" spans="1:39" s="21" customFormat="1" ht="12" customHeight="1" x14ac:dyDescent="0.2">
      <c r="A160" s="1" t="s">
        <v>579</v>
      </c>
      <c r="B160" s="1"/>
      <c r="C160" s="1" t="s">
        <v>581</v>
      </c>
      <c r="D160" s="1"/>
      <c r="E160" s="88">
        <v>15053</v>
      </c>
      <c r="F160" s="88"/>
      <c r="G160" s="88">
        <v>31014</v>
      </c>
      <c r="H160" s="88"/>
      <c r="I160" s="88">
        <v>6072</v>
      </c>
      <c r="J160" s="88"/>
      <c r="K160" s="88">
        <v>0</v>
      </c>
      <c r="L160" s="88"/>
      <c r="M160" s="88">
        <v>0</v>
      </c>
      <c r="N160" s="88"/>
      <c r="O160" s="88">
        <v>4059</v>
      </c>
      <c r="P160" s="88"/>
      <c r="Q160" s="88">
        <v>695</v>
      </c>
      <c r="R160" s="88"/>
      <c r="S160" s="88">
        <v>0</v>
      </c>
      <c r="T160" s="88"/>
      <c r="U160" s="88">
        <v>0</v>
      </c>
      <c r="V160" s="88"/>
      <c r="W160" s="88">
        <v>0</v>
      </c>
      <c r="X160" s="88"/>
      <c r="Y160" s="88">
        <v>0</v>
      </c>
      <c r="Z160" s="88"/>
      <c r="AA160" s="88">
        <v>0</v>
      </c>
      <c r="AB160" s="88"/>
      <c r="AC160" s="88">
        <v>0</v>
      </c>
      <c r="AD160" s="88"/>
      <c r="AE160" s="88">
        <v>0</v>
      </c>
      <c r="AF160" s="88"/>
      <c r="AG160" s="88">
        <v>0</v>
      </c>
      <c r="AH160" s="88"/>
      <c r="AI160" s="88">
        <f t="shared" si="2"/>
        <v>56893</v>
      </c>
      <c r="AJ160" s="10"/>
    </row>
    <row r="161" spans="1:39" s="21" customFormat="1" ht="12" customHeight="1" x14ac:dyDescent="0.2">
      <c r="A161" s="1" t="s">
        <v>885</v>
      </c>
      <c r="B161" s="1"/>
      <c r="C161" s="1" t="s">
        <v>470</v>
      </c>
      <c r="D161" s="1"/>
      <c r="E161" s="76">
        <v>239577</v>
      </c>
      <c r="F161" s="76"/>
      <c r="G161" s="76">
        <v>663495</v>
      </c>
      <c r="H161" s="76"/>
      <c r="I161" s="76">
        <v>235571</v>
      </c>
      <c r="J161" s="76"/>
      <c r="K161" s="76">
        <v>0</v>
      </c>
      <c r="L161" s="76"/>
      <c r="M161" s="76">
        <v>7746</v>
      </c>
      <c r="N161" s="76"/>
      <c r="O161" s="76">
        <v>22790</v>
      </c>
      <c r="P161" s="76"/>
      <c r="Q161" s="76">
        <v>126</v>
      </c>
      <c r="R161" s="76"/>
      <c r="S161" s="76">
        <v>11274</v>
      </c>
      <c r="T161" s="76"/>
      <c r="U161" s="76">
        <v>0</v>
      </c>
      <c r="V161" s="76"/>
      <c r="W161" s="76">
        <v>0</v>
      </c>
      <c r="X161" s="76"/>
      <c r="Y161" s="76">
        <v>0</v>
      </c>
      <c r="Z161" s="76"/>
      <c r="AA161" s="76">
        <v>0</v>
      </c>
      <c r="AB161" s="76"/>
      <c r="AC161" s="76">
        <v>0</v>
      </c>
      <c r="AD161" s="76"/>
      <c r="AE161" s="76">
        <v>0</v>
      </c>
      <c r="AF161" s="76"/>
      <c r="AG161" s="76">
        <v>0</v>
      </c>
      <c r="AH161" s="76"/>
      <c r="AI161" s="76">
        <f t="shared" si="2"/>
        <v>1180579</v>
      </c>
      <c r="AJ161" s="10"/>
      <c r="AK161" s="1"/>
      <c r="AL161" s="1"/>
      <c r="AM161" s="1"/>
    </row>
    <row r="162" spans="1:39" s="21" customFormat="1" ht="12" customHeight="1" x14ac:dyDescent="0.2">
      <c r="A162" s="1" t="s">
        <v>144</v>
      </c>
      <c r="B162" s="1"/>
      <c r="C162" s="1" t="s">
        <v>779</v>
      </c>
      <c r="D162" s="1"/>
      <c r="E162" s="76">
        <v>32838.18</v>
      </c>
      <c r="F162" s="76"/>
      <c r="G162" s="76">
        <v>0</v>
      </c>
      <c r="H162" s="76"/>
      <c r="I162" s="76">
        <v>13512.17</v>
      </c>
      <c r="J162" s="76"/>
      <c r="K162" s="76">
        <v>0</v>
      </c>
      <c r="L162" s="76"/>
      <c r="M162" s="76">
        <v>0</v>
      </c>
      <c r="N162" s="76"/>
      <c r="O162" s="76">
        <v>66649.27</v>
      </c>
      <c r="P162" s="76"/>
      <c r="Q162" s="76">
        <v>67.58</v>
      </c>
      <c r="R162" s="76"/>
      <c r="S162" s="76">
        <v>548.24</v>
      </c>
      <c r="T162" s="76"/>
      <c r="U162" s="76">
        <v>0</v>
      </c>
      <c r="V162" s="76"/>
      <c r="W162" s="76">
        <v>0</v>
      </c>
      <c r="X162" s="76"/>
      <c r="Y162" s="76">
        <v>540</v>
      </c>
      <c r="Z162" s="76"/>
      <c r="AA162" s="76">
        <v>499.07</v>
      </c>
      <c r="AB162" s="76"/>
      <c r="AC162" s="76">
        <v>0</v>
      </c>
      <c r="AD162" s="76"/>
      <c r="AE162" s="76">
        <v>0</v>
      </c>
      <c r="AF162" s="76"/>
      <c r="AG162" s="76">
        <v>100</v>
      </c>
      <c r="AH162"/>
      <c r="AI162" s="76">
        <f t="shared" si="2"/>
        <v>114754.51000000001</v>
      </c>
      <c r="AJ162" s="10"/>
      <c r="AK162" s="1"/>
      <c r="AL162" s="1"/>
      <c r="AM162" s="1"/>
    </row>
    <row r="163" spans="1:39" s="21" customFormat="1" ht="12" customHeight="1" x14ac:dyDescent="0.2">
      <c r="A163" s="1" t="s">
        <v>952</v>
      </c>
      <c r="B163" s="1"/>
      <c r="C163" s="1" t="s">
        <v>312</v>
      </c>
      <c r="D163" s="1"/>
      <c r="E163" s="76">
        <v>156543</v>
      </c>
      <c r="F163" s="76"/>
      <c r="G163" s="76">
        <v>867569</v>
      </c>
      <c r="H163" s="76"/>
      <c r="I163" s="76">
        <v>177700</v>
      </c>
      <c r="J163" s="76"/>
      <c r="K163" s="76">
        <v>0</v>
      </c>
      <c r="L163" s="76"/>
      <c r="M163" s="76">
        <f>92451+6215</f>
        <v>98666</v>
      </c>
      <c r="N163" s="76"/>
      <c r="O163" s="76">
        <f>74484+75146</f>
        <v>149630</v>
      </c>
      <c r="P163" s="76"/>
      <c r="Q163" s="76">
        <v>14630</v>
      </c>
      <c r="R163" s="76"/>
      <c r="S163" s="76">
        <v>83706</v>
      </c>
      <c r="T163" s="76"/>
      <c r="U163" s="76">
        <v>0</v>
      </c>
      <c r="V163" s="76"/>
      <c r="W163" s="76">
        <v>0</v>
      </c>
      <c r="X163" s="76"/>
      <c r="Y163" s="76">
        <v>0</v>
      </c>
      <c r="Z163" s="76"/>
      <c r="AA163" s="76">
        <v>57285</v>
      </c>
      <c r="AB163" s="76"/>
      <c r="AC163" s="76">
        <v>0</v>
      </c>
      <c r="AD163" s="76"/>
      <c r="AE163" s="76">
        <v>0</v>
      </c>
      <c r="AF163" s="76"/>
      <c r="AG163" s="76">
        <v>0</v>
      </c>
      <c r="AH163" s="35"/>
      <c r="AI163" s="76">
        <f t="shared" si="2"/>
        <v>1605729</v>
      </c>
      <c r="AJ163" s="10"/>
      <c r="AK163" s="1"/>
      <c r="AL163" s="1"/>
      <c r="AM163" s="1"/>
    </row>
    <row r="164" spans="1:39" ht="12" customHeight="1" x14ac:dyDescent="0.2">
      <c r="A164" s="1" t="s">
        <v>589</v>
      </c>
      <c r="C164" s="1" t="s">
        <v>590</v>
      </c>
      <c r="E164" s="76">
        <v>79172.45</v>
      </c>
      <c r="F164" s="76"/>
      <c r="G164" s="76">
        <v>258207.11</v>
      </c>
      <c r="H164" s="76"/>
      <c r="I164" s="76">
        <v>54092.04</v>
      </c>
      <c r="J164" s="76"/>
      <c r="K164" s="76">
        <v>0</v>
      </c>
      <c r="L164" s="76"/>
      <c r="M164" s="76">
        <v>0</v>
      </c>
      <c r="N164" s="76"/>
      <c r="O164" s="76">
        <v>24312.1</v>
      </c>
      <c r="P164" s="76"/>
      <c r="Q164" s="76">
        <v>699.9</v>
      </c>
      <c r="R164" s="76"/>
      <c r="S164" s="76">
        <v>3713.78</v>
      </c>
      <c r="T164" s="76"/>
      <c r="U164" s="76">
        <v>0</v>
      </c>
      <c r="V164" s="76"/>
      <c r="W164" s="76">
        <v>0</v>
      </c>
      <c r="X164" s="76"/>
      <c r="Y164" s="76">
        <v>0</v>
      </c>
      <c r="Z164" s="76"/>
      <c r="AA164" s="76">
        <v>0</v>
      </c>
      <c r="AB164" s="76"/>
      <c r="AC164" s="76">
        <v>0</v>
      </c>
      <c r="AD164" s="76"/>
      <c r="AE164" s="76">
        <v>0</v>
      </c>
      <c r="AF164" s="76"/>
      <c r="AG164" s="76">
        <v>0</v>
      </c>
      <c r="AH164"/>
      <c r="AI164" s="76">
        <f t="shared" si="2"/>
        <v>420197.38</v>
      </c>
      <c r="AJ164" s="10"/>
      <c r="AK164" s="21"/>
      <c r="AL164" s="21"/>
      <c r="AM164" s="21"/>
    </row>
    <row r="165" spans="1:39" ht="12" customHeight="1" x14ac:dyDescent="0.2">
      <c r="A165" s="1" t="s">
        <v>274</v>
      </c>
      <c r="C165" s="1" t="s">
        <v>275</v>
      </c>
      <c r="E165" s="76">
        <v>83921</v>
      </c>
      <c r="F165" s="76"/>
      <c r="G165" s="76">
        <v>303340</v>
      </c>
      <c r="H165" s="76"/>
      <c r="I165" s="76">
        <v>387217</v>
      </c>
      <c r="J165" s="76"/>
      <c r="K165" s="76">
        <v>0</v>
      </c>
      <c r="L165" s="76"/>
      <c r="M165" s="76">
        <v>0</v>
      </c>
      <c r="N165" s="76"/>
      <c r="O165" s="76">
        <v>38486</v>
      </c>
      <c r="P165" s="76"/>
      <c r="Q165" s="76">
        <v>372</v>
      </c>
      <c r="R165" s="76"/>
      <c r="S165" s="76">
        <v>32298</v>
      </c>
      <c r="T165" s="76"/>
      <c r="U165" s="76">
        <v>0</v>
      </c>
      <c r="V165" s="76"/>
      <c r="W165" s="76">
        <v>0</v>
      </c>
      <c r="X165" s="76"/>
      <c r="Y165" s="76">
        <v>0</v>
      </c>
      <c r="Z165" s="76"/>
      <c r="AA165" s="76">
        <v>8657</v>
      </c>
      <c r="AB165" s="76"/>
      <c r="AC165" s="76">
        <v>0</v>
      </c>
      <c r="AD165" s="76"/>
      <c r="AE165" s="76">
        <v>0</v>
      </c>
      <c r="AF165" s="76"/>
      <c r="AG165" s="76">
        <v>0</v>
      </c>
      <c r="AH165" s="76"/>
      <c r="AI165" s="76">
        <f t="shared" si="2"/>
        <v>854291</v>
      </c>
      <c r="AJ165" s="10"/>
      <c r="AK165" s="22"/>
      <c r="AL165" s="22"/>
      <c r="AM165" s="22"/>
    </row>
    <row r="166" spans="1:39" s="21" customFormat="1" ht="12" customHeight="1" x14ac:dyDescent="0.2">
      <c r="A166" s="1" t="s">
        <v>499</v>
      </c>
      <c r="B166" s="1"/>
      <c r="C166" s="1" t="s">
        <v>500</v>
      </c>
      <c r="D166" s="1"/>
      <c r="E166" s="76">
        <v>26827</v>
      </c>
      <c r="F166" s="76"/>
      <c r="G166" s="76">
        <v>0</v>
      </c>
      <c r="H166" s="76"/>
      <c r="I166" s="76">
        <f>55579+1250</f>
        <v>56829</v>
      </c>
      <c r="J166" s="76"/>
      <c r="K166" s="76">
        <v>0</v>
      </c>
      <c r="L166" s="76"/>
      <c r="M166" s="76">
        <v>11425</v>
      </c>
      <c r="N166" s="76"/>
      <c r="O166" s="76">
        <v>32144</v>
      </c>
      <c r="P166" s="76"/>
      <c r="Q166" s="76">
        <v>1496</v>
      </c>
      <c r="R166" s="76"/>
      <c r="S166" s="76">
        <v>0</v>
      </c>
      <c r="T166" s="76"/>
      <c r="U166" s="76">
        <v>0</v>
      </c>
      <c r="V166" s="76"/>
      <c r="W166" s="76">
        <v>0</v>
      </c>
      <c r="X166" s="76"/>
      <c r="Y166" s="76">
        <v>0</v>
      </c>
      <c r="Z166" s="76"/>
      <c r="AA166" s="76">
        <v>0</v>
      </c>
      <c r="AB166" s="76"/>
      <c r="AC166" s="76">
        <v>0</v>
      </c>
      <c r="AD166" s="76"/>
      <c r="AE166" s="76">
        <v>295725</v>
      </c>
      <c r="AF166" s="76"/>
      <c r="AG166" s="76">
        <v>0</v>
      </c>
      <c r="AH166" s="76"/>
      <c r="AI166" s="76">
        <f t="shared" si="2"/>
        <v>424446</v>
      </c>
      <c r="AJ166" s="10"/>
    </row>
    <row r="167" spans="1:39" s="21" customFormat="1" ht="12" customHeight="1" x14ac:dyDescent="0.2">
      <c r="A167" s="1" t="s">
        <v>80</v>
      </c>
      <c r="B167" s="1"/>
      <c r="C167" s="1" t="s">
        <v>760</v>
      </c>
      <c r="D167" s="1"/>
      <c r="E167" s="76">
        <v>1129.01</v>
      </c>
      <c r="F167" s="76"/>
      <c r="G167" s="76">
        <v>0</v>
      </c>
      <c r="H167" s="76"/>
      <c r="I167" s="76">
        <v>52818.82</v>
      </c>
      <c r="J167" s="76"/>
      <c r="K167" s="76">
        <v>0</v>
      </c>
      <c r="L167" s="76"/>
      <c r="M167" s="76">
        <v>1594.23</v>
      </c>
      <c r="N167" s="76"/>
      <c r="O167" s="76">
        <v>2094.86</v>
      </c>
      <c r="P167" s="76"/>
      <c r="Q167" s="76">
        <v>272.70999999999998</v>
      </c>
      <c r="R167" s="76"/>
      <c r="S167" s="76">
        <v>122.17</v>
      </c>
      <c r="T167" s="76"/>
      <c r="U167" s="76">
        <v>0</v>
      </c>
      <c r="V167" s="76"/>
      <c r="W167" s="76">
        <v>0</v>
      </c>
      <c r="X167" s="76"/>
      <c r="Y167" s="76">
        <v>0</v>
      </c>
      <c r="Z167" s="76"/>
      <c r="AA167" s="76">
        <v>0</v>
      </c>
      <c r="AB167" s="76"/>
      <c r="AC167" s="76">
        <v>0</v>
      </c>
      <c r="AD167" s="76"/>
      <c r="AE167" s="76">
        <v>0</v>
      </c>
      <c r="AF167" s="76"/>
      <c r="AG167" s="76">
        <v>0</v>
      </c>
      <c r="AH167"/>
      <c r="AI167" s="76">
        <f t="shared" si="2"/>
        <v>58031.8</v>
      </c>
      <c r="AJ167" s="10"/>
      <c r="AK167" s="1"/>
      <c r="AL167" s="1"/>
      <c r="AM167" s="1"/>
    </row>
    <row r="168" spans="1:39" s="21" customFormat="1" ht="12" customHeight="1" x14ac:dyDescent="0.2">
      <c r="A168" s="1" t="s">
        <v>87</v>
      </c>
      <c r="B168" s="1"/>
      <c r="C168" s="1" t="s">
        <v>762</v>
      </c>
      <c r="D168" s="1"/>
      <c r="E168" s="76">
        <v>14954.11</v>
      </c>
      <c r="F168" s="76"/>
      <c r="G168" s="76">
        <v>0</v>
      </c>
      <c r="H168" s="76"/>
      <c r="I168" s="76">
        <v>13809.08</v>
      </c>
      <c r="J168" s="76"/>
      <c r="K168" s="76">
        <v>0</v>
      </c>
      <c r="L168" s="76"/>
      <c r="M168" s="76">
        <v>0</v>
      </c>
      <c r="N168" s="76"/>
      <c r="O168" s="76">
        <v>0</v>
      </c>
      <c r="P168" s="76"/>
      <c r="Q168" s="76">
        <v>315.14</v>
      </c>
      <c r="R168" s="76"/>
      <c r="S168" s="76">
        <v>7048.15</v>
      </c>
      <c r="T168" s="76"/>
      <c r="U168" s="76">
        <v>0</v>
      </c>
      <c r="V168" s="76"/>
      <c r="W168" s="76">
        <v>0</v>
      </c>
      <c r="X168" s="76"/>
      <c r="Y168" s="76">
        <v>0</v>
      </c>
      <c r="Z168" s="76"/>
      <c r="AA168" s="76">
        <v>0</v>
      </c>
      <c r="AB168" s="76"/>
      <c r="AC168" s="76">
        <v>10725</v>
      </c>
      <c r="AD168" s="76"/>
      <c r="AE168" s="76">
        <v>0</v>
      </c>
      <c r="AF168" s="76"/>
      <c r="AG168" s="76">
        <v>0</v>
      </c>
      <c r="AH168"/>
      <c r="AI168" s="76">
        <f t="shared" si="2"/>
        <v>46851.48</v>
      </c>
      <c r="AJ168" s="10"/>
    </row>
    <row r="169" spans="1:39" s="21" customFormat="1" ht="12" customHeight="1" x14ac:dyDescent="0.2">
      <c r="A169" s="1" t="s">
        <v>254</v>
      </c>
      <c r="B169" s="1"/>
      <c r="C169" s="1" t="s">
        <v>813</v>
      </c>
      <c r="D169" s="1"/>
      <c r="E169" s="76">
        <v>11615.81</v>
      </c>
      <c r="F169" s="76"/>
      <c r="G169" s="76">
        <v>0</v>
      </c>
      <c r="H169" s="76"/>
      <c r="I169" s="76">
        <v>3714.37</v>
      </c>
      <c r="J169" s="76"/>
      <c r="K169" s="76">
        <v>0</v>
      </c>
      <c r="L169" s="76"/>
      <c r="M169" s="76">
        <v>0</v>
      </c>
      <c r="N169" s="76"/>
      <c r="O169" s="76">
        <v>0</v>
      </c>
      <c r="P169" s="76"/>
      <c r="Q169" s="76">
        <v>1361.99</v>
      </c>
      <c r="R169" s="76"/>
      <c r="S169" s="76">
        <v>256.05</v>
      </c>
      <c r="T169" s="76"/>
      <c r="U169" s="76">
        <v>0</v>
      </c>
      <c r="V169" s="76"/>
      <c r="W169" s="76">
        <v>0</v>
      </c>
      <c r="X169" s="76"/>
      <c r="Y169" s="76">
        <v>0</v>
      </c>
      <c r="Z169" s="76"/>
      <c r="AA169" s="76">
        <v>0</v>
      </c>
      <c r="AB169" s="76"/>
      <c r="AC169" s="76">
        <v>0</v>
      </c>
      <c r="AD169" s="76"/>
      <c r="AE169" s="76">
        <v>0</v>
      </c>
      <c r="AF169" s="76"/>
      <c r="AG169" s="76">
        <v>0</v>
      </c>
      <c r="AH169"/>
      <c r="AI169" s="76">
        <f t="shared" si="2"/>
        <v>16948.22</v>
      </c>
      <c r="AJ169" s="10"/>
      <c r="AK169" s="1"/>
      <c r="AL169" s="1"/>
      <c r="AM169" s="1"/>
    </row>
    <row r="170" spans="1:39" ht="12" customHeight="1" x14ac:dyDescent="0.2">
      <c r="A170" s="1" t="s">
        <v>909</v>
      </c>
      <c r="C170" s="1" t="s">
        <v>316</v>
      </c>
      <c r="E170" s="76">
        <v>378824</v>
      </c>
      <c r="F170" s="76"/>
      <c r="G170" s="76">
        <v>7932896</v>
      </c>
      <c r="H170" s="76"/>
      <c r="I170" s="76">
        <v>89224</v>
      </c>
      <c r="J170" s="76"/>
      <c r="K170" s="76">
        <v>0</v>
      </c>
      <c r="L170" s="76"/>
      <c r="M170" s="76">
        <v>451212</v>
      </c>
      <c r="N170" s="76"/>
      <c r="O170" s="76">
        <v>282535</v>
      </c>
      <c r="P170" s="76"/>
      <c r="Q170" s="76">
        <v>5014</v>
      </c>
      <c r="R170" s="76"/>
      <c r="S170" s="76">
        <v>88648</v>
      </c>
      <c r="T170" s="76"/>
      <c r="U170" s="76">
        <v>0</v>
      </c>
      <c r="V170" s="76"/>
      <c r="W170" s="76">
        <v>0</v>
      </c>
      <c r="X170" s="76"/>
      <c r="Y170" s="76">
        <v>12107</v>
      </c>
      <c r="Z170" s="76"/>
      <c r="AA170" s="76">
        <v>0</v>
      </c>
      <c r="AB170" s="76"/>
      <c r="AC170" s="76">
        <v>0</v>
      </c>
      <c r="AD170" s="76"/>
      <c r="AE170" s="76">
        <v>0</v>
      </c>
      <c r="AF170" s="76"/>
      <c r="AG170" s="76">
        <v>0</v>
      </c>
      <c r="AH170" s="76"/>
      <c r="AI170" s="76">
        <f t="shared" si="2"/>
        <v>9240460</v>
      </c>
      <c r="AJ170" s="10"/>
    </row>
    <row r="171" spans="1:39" ht="12" customHeight="1" x14ac:dyDescent="0.2">
      <c r="A171" s="1" t="s">
        <v>830</v>
      </c>
      <c r="C171" s="1" t="s">
        <v>813</v>
      </c>
      <c r="E171" s="76">
        <v>7253.45</v>
      </c>
      <c r="F171" s="76"/>
      <c r="G171" s="76">
        <v>84786.38</v>
      </c>
      <c r="H171" s="76"/>
      <c r="I171" s="76">
        <v>31081.38</v>
      </c>
      <c r="J171" s="76"/>
      <c r="K171" s="76">
        <v>0</v>
      </c>
      <c r="L171" s="76"/>
      <c r="M171" s="76">
        <v>11524.19</v>
      </c>
      <c r="N171" s="76"/>
      <c r="O171" s="76">
        <v>1440.5</v>
      </c>
      <c r="P171" s="76"/>
      <c r="Q171" s="76">
        <v>579.79999999999995</v>
      </c>
      <c r="R171" s="76"/>
      <c r="S171" s="76">
        <v>2450.4499999999998</v>
      </c>
      <c r="T171" s="76"/>
      <c r="U171" s="76">
        <v>0</v>
      </c>
      <c r="V171" s="76"/>
      <c r="W171" s="76">
        <v>0</v>
      </c>
      <c r="X171" s="76"/>
      <c r="Y171" s="76">
        <v>0</v>
      </c>
      <c r="Z171" s="76"/>
      <c r="AA171" s="76">
        <v>192.13</v>
      </c>
      <c r="AB171" s="76"/>
      <c r="AC171" s="76">
        <v>0</v>
      </c>
      <c r="AD171" s="76"/>
      <c r="AE171" s="76">
        <v>6931.78</v>
      </c>
      <c r="AF171" s="76"/>
      <c r="AG171" s="76">
        <v>0</v>
      </c>
      <c r="AH171"/>
      <c r="AI171" s="76">
        <f t="shared" si="2"/>
        <v>146240.06</v>
      </c>
      <c r="AJ171" s="10"/>
    </row>
    <row r="172" spans="1:39" ht="12" customHeight="1" x14ac:dyDescent="0.2">
      <c r="A172" s="1" t="s">
        <v>591</v>
      </c>
      <c r="C172" s="1" t="s">
        <v>588</v>
      </c>
      <c r="E172" s="76">
        <v>108385</v>
      </c>
      <c r="F172" s="76"/>
      <c r="G172" s="76">
        <v>434046</v>
      </c>
      <c r="H172" s="76"/>
      <c r="I172" s="76">
        <v>235086</v>
      </c>
      <c r="J172" s="76"/>
      <c r="K172" s="76">
        <v>0</v>
      </c>
      <c r="L172" s="76"/>
      <c r="M172" s="76">
        <v>1611</v>
      </c>
      <c r="N172" s="76"/>
      <c r="O172" s="76">
        <v>25975</v>
      </c>
      <c r="P172" s="76"/>
      <c r="Q172" s="76">
        <v>206</v>
      </c>
      <c r="R172" s="76"/>
      <c r="S172" s="76">
        <v>1405</v>
      </c>
      <c r="T172" s="76"/>
      <c r="U172" s="76">
        <v>0</v>
      </c>
      <c r="V172" s="76"/>
      <c r="W172" s="76">
        <v>0</v>
      </c>
      <c r="X172" s="76"/>
      <c r="Y172" s="76">
        <v>0</v>
      </c>
      <c r="Z172" s="76"/>
      <c r="AA172" s="76">
        <v>0</v>
      </c>
      <c r="AB172" s="76"/>
      <c r="AC172" s="76">
        <v>0</v>
      </c>
      <c r="AD172" s="76"/>
      <c r="AE172" s="76">
        <v>0</v>
      </c>
      <c r="AF172" s="76"/>
      <c r="AG172" s="76">
        <v>0</v>
      </c>
      <c r="AH172" s="76"/>
      <c r="AI172" s="76">
        <f t="shared" si="2"/>
        <v>806714</v>
      </c>
      <c r="AJ172" s="10"/>
      <c r="AK172" s="21"/>
      <c r="AL172" s="21"/>
      <c r="AM172" s="21"/>
    </row>
    <row r="173" spans="1:39" ht="12" customHeight="1" x14ac:dyDescent="0.2">
      <c r="A173" s="1" t="s">
        <v>426</v>
      </c>
      <c r="C173" s="1" t="s">
        <v>427</v>
      </c>
      <c r="E173" s="76">
        <v>41610.15</v>
      </c>
      <c r="F173" s="76"/>
      <c r="G173" s="76">
        <v>173608.04</v>
      </c>
      <c r="H173" s="76"/>
      <c r="I173" s="76">
        <v>25112.18</v>
      </c>
      <c r="J173" s="76"/>
      <c r="K173" s="76">
        <v>0</v>
      </c>
      <c r="L173" s="76"/>
      <c r="M173" s="76">
        <v>99.17</v>
      </c>
      <c r="N173" s="76"/>
      <c r="O173" s="76">
        <v>11571.23</v>
      </c>
      <c r="P173" s="76"/>
      <c r="Q173" s="76">
        <v>841.52</v>
      </c>
      <c r="R173" s="76"/>
      <c r="S173" s="76">
        <v>0</v>
      </c>
      <c r="T173" s="76"/>
      <c r="U173" s="76">
        <v>0</v>
      </c>
      <c r="V173" s="76"/>
      <c r="W173" s="76">
        <v>0</v>
      </c>
      <c r="X173" s="76"/>
      <c r="Y173" s="76">
        <v>0</v>
      </c>
      <c r="Z173" s="76"/>
      <c r="AA173" s="76">
        <v>0</v>
      </c>
      <c r="AB173" s="76"/>
      <c r="AC173" s="76">
        <v>0</v>
      </c>
      <c r="AD173" s="76"/>
      <c r="AE173" s="76">
        <v>25.13</v>
      </c>
      <c r="AF173" s="76"/>
      <c r="AG173" s="76">
        <v>0</v>
      </c>
      <c r="AH173"/>
      <c r="AI173" s="76">
        <f t="shared" si="2"/>
        <v>252867.42</v>
      </c>
      <c r="AJ173" s="10"/>
      <c r="AK173" s="21"/>
      <c r="AL173" s="21"/>
      <c r="AM173" s="21"/>
    </row>
    <row r="174" spans="1:39" ht="12" customHeight="1" x14ac:dyDescent="0.2">
      <c r="A174" s="1" t="s">
        <v>959</v>
      </c>
      <c r="C174" s="1" t="s">
        <v>504</v>
      </c>
      <c r="E174" s="76">
        <v>18080</v>
      </c>
      <c r="F174" s="76"/>
      <c r="G174" s="76">
        <v>0</v>
      </c>
      <c r="H174" s="76"/>
      <c r="I174" s="76">
        <v>0</v>
      </c>
      <c r="J174" s="76"/>
      <c r="K174" s="76">
        <v>0</v>
      </c>
      <c r="L174" s="76"/>
      <c r="M174" s="76">
        <v>0</v>
      </c>
      <c r="N174" s="76"/>
      <c r="O174" s="76">
        <v>0</v>
      </c>
      <c r="P174" s="76"/>
      <c r="Q174" s="76">
        <v>0</v>
      </c>
      <c r="R174" s="76"/>
      <c r="S174" s="76">
        <v>217</v>
      </c>
      <c r="T174" s="76"/>
      <c r="U174" s="76">
        <v>0</v>
      </c>
      <c r="V174" s="76"/>
      <c r="W174" s="76">
        <v>0</v>
      </c>
      <c r="X174" s="76"/>
      <c r="Y174" s="76">
        <v>0</v>
      </c>
      <c r="Z174" s="76"/>
      <c r="AA174" s="76">
        <v>0</v>
      </c>
      <c r="AB174" s="76"/>
      <c r="AC174" s="76">
        <v>0</v>
      </c>
      <c r="AD174" s="76"/>
      <c r="AE174" s="76">
        <v>0</v>
      </c>
      <c r="AF174" s="76"/>
      <c r="AG174" s="76">
        <v>0</v>
      </c>
      <c r="AH174" s="76"/>
      <c r="AI174" s="76">
        <f t="shared" si="2"/>
        <v>18297</v>
      </c>
      <c r="AJ174" s="10"/>
    </row>
    <row r="175" spans="1:39" ht="12" customHeight="1" x14ac:dyDescent="0.2">
      <c r="A175" s="15" t="s">
        <v>404</v>
      </c>
      <c r="B175" s="15"/>
      <c r="C175" s="15" t="s">
        <v>403</v>
      </c>
      <c r="D175" s="15"/>
      <c r="E175" s="76">
        <v>0</v>
      </c>
      <c r="F175" s="76"/>
      <c r="G175" s="76">
        <v>0</v>
      </c>
      <c r="H175" s="76"/>
      <c r="I175" s="76">
        <v>16268</v>
      </c>
      <c r="J175" s="76"/>
      <c r="K175" s="76">
        <v>0</v>
      </c>
      <c r="L175" s="76"/>
      <c r="M175" s="76">
        <v>0</v>
      </c>
      <c r="N175" s="76"/>
      <c r="O175" s="76">
        <v>0</v>
      </c>
      <c r="P175" s="76"/>
      <c r="Q175" s="76">
        <v>19</v>
      </c>
      <c r="R175" s="76"/>
      <c r="S175" s="76">
        <v>269</v>
      </c>
      <c r="T175" s="76"/>
      <c r="U175" s="76">
        <v>0</v>
      </c>
      <c r="V175" s="76"/>
      <c r="W175" s="76">
        <v>0</v>
      </c>
      <c r="X175" s="76"/>
      <c r="Y175" s="76">
        <v>0</v>
      </c>
      <c r="Z175" s="76"/>
      <c r="AA175" s="76">
        <v>5</v>
      </c>
      <c r="AB175" s="76"/>
      <c r="AC175" s="76">
        <v>0</v>
      </c>
      <c r="AD175" s="76"/>
      <c r="AE175" s="76">
        <v>0</v>
      </c>
      <c r="AF175" s="76"/>
      <c r="AG175" s="76">
        <v>0</v>
      </c>
      <c r="AH175" s="86"/>
      <c r="AI175" s="76">
        <f t="shared" si="2"/>
        <v>16561</v>
      </c>
      <c r="AJ175" s="24"/>
      <c r="AK175" s="31"/>
      <c r="AL175" s="31"/>
      <c r="AM175" s="31"/>
    </row>
    <row r="176" spans="1:39" ht="12" customHeight="1" x14ac:dyDescent="0.2">
      <c r="A176" s="1" t="s">
        <v>445</v>
      </c>
      <c r="C176" s="1" t="s">
        <v>446</v>
      </c>
      <c r="E176" s="76">
        <v>38233.519999999997</v>
      </c>
      <c r="F176" s="76"/>
      <c r="G176" s="76">
        <v>153685.32999999999</v>
      </c>
      <c r="H176" s="76"/>
      <c r="I176" s="76">
        <v>44496.25</v>
      </c>
      <c r="J176" s="76"/>
      <c r="K176" s="76">
        <v>1319.86</v>
      </c>
      <c r="L176" s="76"/>
      <c r="M176" s="76">
        <v>0</v>
      </c>
      <c r="N176" s="76"/>
      <c r="O176" s="76">
        <v>9029.5400000000009</v>
      </c>
      <c r="P176" s="76"/>
      <c r="Q176" s="76">
        <v>924.83</v>
      </c>
      <c r="R176" s="76"/>
      <c r="S176" s="76">
        <v>10546.61</v>
      </c>
      <c r="T176" s="76"/>
      <c r="U176" s="76">
        <v>0</v>
      </c>
      <c r="V176" s="76"/>
      <c r="W176" s="76">
        <v>0</v>
      </c>
      <c r="X176" s="76"/>
      <c r="Y176" s="76">
        <v>0</v>
      </c>
      <c r="Z176" s="76"/>
      <c r="AA176" s="76">
        <v>0</v>
      </c>
      <c r="AB176" s="76"/>
      <c r="AC176" s="76">
        <v>0</v>
      </c>
      <c r="AD176" s="76"/>
      <c r="AE176" s="76">
        <v>0</v>
      </c>
      <c r="AF176" s="76"/>
      <c r="AG176" s="76">
        <v>0</v>
      </c>
      <c r="AH176"/>
      <c r="AI176" s="76">
        <f t="shared" si="2"/>
        <v>258235.93999999994</v>
      </c>
      <c r="AJ176" s="10"/>
      <c r="AK176" s="21"/>
      <c r="AL176" s="21"/>
      <c r="AM176" s="21"/>
    </row>
    <row r="177" spans="1:39" ht="12" customHeight="1" x14ac:dyDescent="0.2">
      <c r="A177" s="1" t="s">
        <v>28</v>
      </c>
      <c r="C177" s="1" t="s">
        <v>744</v>
      </c>
      <c r="E177" s="76">
        <v>19741.759999999998</v>
      </c>
      <c r="F177" s="76"/>
      <c r="G177" s="76">
        <v>0</v>
      </c>
      <c r="H177" s="76"/>
      <c r="I177" s="76">
        <v>41836.870000000003</v>
      </c>
      <c r="J177" s="76"/>
      <c r="K177" s="76">
        <v>0</v>
      </c>
      <c r="L177" s="76"/>
      <c r="M177" s="76">
        <v>0</v>
      </c>
      <c r="N177" s="76"/>
      <c r="O177" s="76">
        <v>3210.5</v>
      </c>
      <c r="P177" s="76"/>
      <c r="Q177" s="76">
        <v>26.85</v>
      </c>
      <c r="R177" s="76"/>
      <c r="S177" s="76">
        <v>4428.3900000000003</v>
      </c>
      <c r="T177" s="76"/>
      <c r="U177" s="76">
        <v>0</v>
      </c>
      <c r="V177" s="76"/>
      <c r="W177" s="76">
        <v>0</v>
      </c>
      <c r="X177" s="76"/>
      <c r="Y177" s="76">
        <v>0</v>
      </c>
      <c r="Z177" s="76"/>
      <c r="AA177" s="76">
        <v>0</v>
      </c>
      <c r="AB177" s="76"/>
      <c r="AC177" s="76">
        <v>0</v>
      </c>
      <c r="AD177" s="76"/>
      <c r="AE177" s="76">
        <v>0</v>
      </c>
      <c r="AF177" s="76"/>
      <c r="AG177" s="76">
        <v>0</v>
      </c>
      <c r="AH177"/>
      <c r="AI177" s="76">
        <f t="shared" si="2"/>
        <v>69244.37000000001</v>
      </c>
      <c r="AJ177" s="10"/>
      <c r="AK177" s="7"/>
      <c r="AL177" s="7"/>
      <c r="AM177" s="7"/>
    </row>
    <row r="178" spans="1:39" ht="12" customHeight="1" x14ac:dyDescent="0.2">
      <c r="A178" s="15" t="s">
        <v>359</v>
      </c>
      <c r="B178" s="15"/>
      <c r="C178" s="15" t="s">
        <v>358</v>
      </c>
      <c r="D178" s="15"/>
      <c r="E178" s="76">
        <v>123949</v>
      </c>
      <c r="F178" s="76"/>
      <c r="G178" s="76">
        <v>388832</v>
      </c>
      <c r="H178" s="76"/>
      <c r="I178" s="76">
        <v>102942</v>
      </c>
      <c r="J178" s="76"/>
      <c r="K178" s="76">
        <v>0</v>
      </c>
      <c r="L178" s="76"/>
      <c r="M178" s="76">
        <v>87182</v>
      </c>
      <c r="N178" s="76"/>
      <c r="O178" s="76">
        <v>49140</v>
      </c>
      <c r="P178" s="76"/>
      <c r="Q178" s="76">
        <v>12417</v>
      </c>
      <c r="R178" s="76"/>
      <c r="S178" s="76">
        <v>18304</v>
      </c>
      <c r="T178" s="76"/>
      <c r="U178" s="76">
        <v>0</v>
      </c>
      <c r="V178" s="76"/>
      <c r="W178" s="76">
        <v>0</v>
      </c>
      <c r="X178" s="76"/>
      <c r="Y178" s="76">
        <v>0</v>
      </c>
      <c r="Z178" s="76"/>
      <c r="AA178" s="76">
        <v>0</v>
      </c>
      <c r="AB178" s="76"/>
      <c r="AC178" s="76">
        <v>0</v>
      </c>
      <c r="AD178" s="76"/>
      <c r="AE178" s="76">
        <v>0</v>
      </c>
      <c r="AF178" s="76"/>
      <c r="AG178" s="76">
        <v>0</v>
      </c>
      <c r="AH178" s="77"/>
      <c r="AI178" s="76">
        <f t="shared" si="2"/>
        <v>782766</v>
      </c>
      <c r="AJ178" s="24"/>
      <c r="AK178" s="31"/>
      <c r="AL178" s="31"/>
      <c r="AM178" s="31"/>
    </row>
    <row r="179" spans="1:39" s="21" customFormat="1" ht="12" customHeight="1" x14ac:dyDescent="0.2">
      <c r="A179" s="1" t="s">
        <v>232</v>
      </c>
      <c r="B179" s="1"/>
      <c r="C179" s="1" t="s">
        <v>806</v>
      </c>
      <c r="D179" s="1"/>
      <c r="E179" s="76">
        <v>117879.52</v>
      </c>
      <c r="F179" s="76"/>
      <c r="G179" s="76">
        <v>610744.37</v>
      </c>
      <c r="H179" s="76"/>
      <c r="I179" s="76">
        <v>95572.86</v>
      </c>
      <c r="J179" s="76"/>
      <c r="K179" s="76">
        <v>0</v>
      </c>
      <c r="L179" s="76"/>
      <c r="M179" s="76">
        <v>24742</v>
      </c>
      <c r="N179" s="76"/>
      <c r="O179" s="76">
        <v>10918</v>
      </c>
      <c r="P179" s="76"/>
      <c r="Q179" s="76">
        <v>1018.13</v>
      </c>
      <c r="R179" s="76"/>
      <c r="S179" s="76">
        <v>36548.639999999999</v>
      </c>
      <c r="T179" s="76"/>
      <c r="U179" s="76">
        <v>0</v>
      </c>
      <c r="V179" s="76"/>
      <c r="W179" s="76">
        <v>0</v>
      </c>
      <c r="X179" s="76"/>
      <c r="Y179" s="76">
        <v>285671.99</v>
      </c>
      <c r="Z179" s="76"/>
      <c r="AA179" s="76">
        <v>0</v>
      </c>
      <c r="AB179" s="76"/>
      <c r="AC179" s="76">
        <v>0</v>
      </c>
      <c r="AD179" s="76"/>
      <c r="AE179" s="76">
        <v>0</v>
      </c>
      <c r="AF179" s="76"/>
      <c r="AG179" s="76">
        <v>0</v>
      </c>
      <c r="AH179"/>
      <c r="AI179" s="76">
        <f t="shared" si="2"/>
        <v>1183095.51</v>
      </c>
      <c r="AJ179" s="10"/>
      <c r="AK179" s="1"/>
      <c r="AL179" s="1"/>
      <c r="AM179" s="1"/>
    </row>
    <row r="180" spans="1:39" s="21" customFormat="1" ht="12" customHeight="1" x14ac:dyDescent="0.2">
      <c r="A180" s="1" t="s">
        <v>104</v>
      </c>
      <c r="B180" s="1"/>
      <c r="C180" s="1" t="s">
        <v>766</v>
      </c>
      <c r="D180" s="1"/>
      <c r="E180" s="76">
        <v>62492.29</v>
      </c>
      <c r="F180" s="76"/>
      <c r="G180" s="76">
        <v>0</v>
      </c>
      <c r="H180" s="76"/>
      <c r="I180" s="76">
        <v>141975.99</v>
      </c>
      <c r="J180" s="76"/>
      <c r="K180" s="76">
        <v>0</v>
      </c>
      <c r="L180" s="76"/>
      <c r="M180" s="76">
        <v>2500</v>
      </c>
      <c r="N180" s="76"/>
      <c r="O180" s="76">
        <v>17762.05</v>
      </c>
      <c r="P180" s="76"/>
      <c r="Q180" s="76">
        <v>3316.64</v>
      </c>
      <c r="R180" s="76"/>
      <c r="S180" s="76">
        <v>10524.1</v>
      </c>
      <c r="T180" s="76"/>
      <c r="U180" s="76">
        <v>0</v>
      </c>
      <c r="V180" s="76"/>
      <c r="W180" s="76">
        <v>0</v>
      </c>
      <c r="X180" s="76"/>
      <c r="Y180" s="76">
        <v>0</v>
      </c>
      <c r="Z180" s="76"/>
      <c r="AA180" s="76">
        <v>130000</v>
      </c>
      <c r="AB180" s="76"/>
      <c r="AC180" s="76">
        <v>0</v>
      </c>
      <c r="AD180" s="76"/>
      <c r="AE180" s="76">
        <v>0</v>
      </c>
      <c r="AF180" s="76"/>
      <c r="AG180" s="76">
        <v>0</v>
      </c>
      <c r="AH180"/>
      <c r="AI180" s="76">
        <f t="shared" si="2"/>
        <v>368571.07</v>
      </c>
      <c r="AJ180" s="10"/>
      <c r="AK180" s="1"/>
      <c r="AL180" s="1"/>
      <c r="AM180" s="1"/>
    </row>
    <row r="181" spans="1:39" s="21" customFormat="1" ht="12" hidden="1" customHeight="1" x14ac:dyDescent="0.2">
      <c r="A181" s="1" t="s">
        <v>492</v>
      </c>
      <c r="B181" s="1"/>
      <c r="C181" s="1" t="s">
        <v>490</v>
      </c>
      <c r="D181" s="1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/>
      <c r="AI181" s="76">
        <f t="shared" si="2"/>
        <v>0</v>
      </c>
      <c r="AJ181" s="10"/>
      <c r="AK181" s="1"/>
      <c r="AL181" s="1"/>
      <c r="AM181" s="1"/>
    </row>
    <row r="182" spans="1:39" s="21" customFormat="1" ht="12" customHeight="1" x14ac:dyDescent="0.2">
      <c r="A182" s="1" t="s">
        <v>116</v>
      </c>
      <c r="B182" s="1"/>
      <c r="C182" s="1" t="s">
        <v>770</v>
      </c>
      <c r="D182" s="1"/>
      <c r="E182" s="76">
        <v>40261.67</v>
      </c>
      <c r="F182" s="76"/>
      <c r="G182" s="76">
        <v>0</v>
      </c>
      <c r="H182" s="76"/>
      <c r="I182" s="76">
        <v>29519.360000000001</v>
      </c>
      <c r="J182" s="76"/>
      <c r="K182" s="76">
        <v>0</v>
      </c>
      <c r="L182" s="76"/>
      <c r="M182" s="76">
        <v>269600.76</v>
      </c>
      <c r="N182" s="76"/>
      <c r="O182" s="76">
        <v>10466.16</v>
      </c>
      <c r="P182" s="76"/>
      <c r="Q182" s="76">
        <v>1036.47</v>
      </c>
      <c r="R182" s="76"/>
      <c r="S182" s="76">
        <v>2650</v>
      </c>
      <c r="T182" s="76"/>
      <c r="U182" s="76">
        <v>0</v>
      </c>
      <c r="V182" s="76"/>
      <c r="W182" s="76">
        <v>17000</v>
      </c>
      <c r="X182" s="76"/>
      <c r="Y182" s="76">
        <v>0</v>
      </c>
      <c r="Z182" s="76"/>
      <c r="AA182" s="76">
        <v>0</v>
      </c>
      <c r="AB182" s="76"/>
      <c r="AC182" s="76">
        <v>4125</v>
      </c>
      <c r="AD182" s="76"/>
      <c r="AE182" s="76">
        <v>0</v>
      </c>
      <c r="AF182" s="76"/>
      <c r="AG182" s="76">
        <v>0</v>
      </c>
      <c r="AH182"/>
      <c r="AI182" s="76">
        <f t="shared" si="2"/>
        <v>374659.42</v>
      </c>
      <c r="AJ182" s="10"/>
    </row>
    <row r="183" spans="1:39" ht="12" customHeight="1" x14ac:dyDescent="0.2">
      <c r="A183" s="1" t="s">
        <v>816</v>
      </c>
      <c r="C183" s="1" t="s">
        <v>292</v>
      </c>
      <c r="E183" s="76">
        <v>40964.1</v>
      </c>
      <c r="F183" s="76"/>
      <c r="G183" s="76">
        <v>0</v>
      </c>
      <c r="H183" s="76"/>
      <c r="I183" s="76">
        <v>5597.52</v>
      </c>
      <c r="J183" s="76"/>
      <c r="K183" s="76">
        <v>0</v>
      </c>
      <c r="L183" s="76"/>
      <c r="M183" s="76">
        <v>3168</v>
      </c>
      <c r="N183" s="76"/>
      <c r="O183" s="76">
        <v>8204.5300000000007</v>
      </c>
      <c r="P183" s="76"/>
      <c r="Q183" s="76">
        <v>568.27</v>
      </c>
      <c r="R183" s="76"/>
      <c r="S183" s="76">
        <v>5099.38</v>
      </c>
      <c r="T183" s="76"/>
      <c r="U183" s="76">
        <v>0</v>
      </c>
      <c r="V183" s="76"/>
      <c r="W183" s="76">
        <v>0</v>
      </c>
      <c r="X183" s="76"/>
      <c r="Y183" s="76">
        <v>0</v>
      </c>
      <c r="Z183" s="76"/>
      <c r="AA183" s="76">
        <v>0</v>
      </c>
      <c r="AB183" s="76"/>
      <c r="AC183" s="76">
        <v>0</v>
      </c>
      <c r="AD183" s="76"/>
      <c r="AE183" s="76">
        <v>0</v>
      </c>
      <c r="AF183" s="76"/>
      <c r="AG183" s="76">
        <v>0</v>
      </c>
      <c r="AH183"/>
      <c r="AI183" s="76">
        <f t="shared" si="2"/>
        <v>63601.799999999988</v>
      </c>
      <c r="AJ183" s="10"/>
      <c r="AK183" s="22"/>
      <c r="AL183" s="22"/>
      <c r="AM183" s="22"/>
    </row>
    <row r="184" spans="1:39" s="36" customFormat="1" ht="12" customHeight="1" x14ac:dyDescent="0.2">
      <c r="A184" s="1" t="s">
        <v>592</v>
      </c>
      <c r="B184" s="1"/>
      <c r="C184" s="1" t="s">
        <v>588</v>
      </c>
      <c r="D184" s="1"/>
      <c r="E184" s="76">
        <v>293842.63</v>
      </c>
      <c r="F184" s="76"/>
      <c r="G184" s="76">
        <v>604766.15</v>
      </c>
      <c r="H184" s="76"/>
      <c r="I184" s="76">
        <v>77543.649999999994</v>
      </c>
      <c r="J184" s="76"/>
      <c r="K184" s="76">
        <v>0</v>
      </c>
      <c r="L184" s="76"/>
      <c r="M184" s="76">
        <v>14655</v>
      </c>
      <c r="N184" s="76"/>
      <c r="O184" s="76">
        <v>41685.25</v>
      </c>
      <c r="P184" s="76"/>
      <c r="Q184" s="76">
        <v>993.62</v>
      </c>
      <c r="R184" s="76"/>
      <c r="S184" s="76">
        <v>26402.94</v>
      </c>
      <c r="T184" s="76"/>
      <c r="U184" s="76">
        <v>0</v>
      </c>
      <c r="V184" s="76"/>
      <c r="W184" s="76">
        <v>0</v>
      </c>
      <c r="X184" s="76"/>
      <c r="Y184" s="76">
        <v>0</v>
      </c>
      <c r="Z184" s="76"/>
      <c r="AA184" s="76">
        <v>0</v>
      </c>
      <c r="AB184" s="76"/>
      <c r="AC184" s="76">
        <v>0</v>
      </c>
      <c r="AD184" s="76"/>
      <c r="AE184" s="76">
        <v>0</v>
      </c>
      <c r="AF184" s="76"/>
      <c r="AG184" s="76">
        <v>0</v>
      </c>
      <c r="AH184"/>
      <c r="AI184" s="76">
        <f t="shared" si="2"/>
        <v>1059889.24</v>
      </c>
      <c r="AJ184" s="10"/>
      <c r="AK184" s="21"/>
      <c r="AL184" s="21"/>
      <c r="AM184" s="21"/>
    </row>
    <row r="185" spans="1:39" ht="12" customHeight="1" x14ac:dyDescent="0.2">
      <c r="A185" s="1" t="s">
        <v>174</v>
      </c>
      <c r="C185" s="1" t="s">
        <v>789</v>
      </c>
      <c r="E185" s="76">
        <v>143708.81</v>
      </c>
      <c r="F185" s="76"/>
      <c r="G185" s="76">
        <v>1302.8599999999999</v>
      </c>
      <c r="H185" s="76"/>
      <c r="I185" s="76">
        <v>58151.45</v>
      </c>
      <c r="J185" s="76"/>
      <c r="K185" s="76">
        <v>0</v>
      </c>
      <c r="L185" s="76"/>
      <c r="M185" s="76">
        <v>0</v>
      </c>
      <c r="N185" s="76"/>
      <c r="O185" s="76">
        <v>2603.5500000000002</v>
      </c>
      <c r="P185" s="76"/>
      <c r="Q185" s="76">
        <v>3519.33</v>
      </c>
      <c r="R185" s="76"/>
      <c r="S185" s="76">
        <v>31155.7</v>
      </c>
      <c r="T185" s="76"/>
      <c r="U185" s="76">
        <v>0</v>
      </c>
      <c r="V185" s="76"/>
      <c r="W185" s="76">
        <v>0</v>
      </c>
      <c r="X185" s="76"/>
      <c r="Y185" s="76">
        <v>0</v>
      </c>
      <c r="Z185" s="76"/>
      <c r="AA185" s="76">
        <v>90600</v>
      </c>
      <c r="AB185" s="76"/>
      <c r="AC185" s="76">
        <v>0</v>
      </c>
      <c r="AD185" s="76"/>
      <c r="AE185" s="76">
        <v>4483.2</v>
      </c>
      <c r="AF185" s="76"/>
      <c r="AG185" s="76">
        <v>0</v>
      </c>
      <c r="AH185"/>
      <c r="AI185" s="76">
        <f t="shared" si="2"/>
        <v>335524.89999999997</v>
      </c>
      <c r="AJ185" s="10"/>
    </row>
    <row r="186" spans="1:39" ht="12" customHeight="1" x14ac:dyDescent="0.2">
      <c r="A186" s="1" t="s">
        <v>397</v>
      </c>
      <c r="C186" s="1" t="s">
        <v>396</v>
      </c>
      <c r="E186" s="76">
        <v>14678.43</v>
      </c>
      <c r="F186" s="76"/>
      <c r="G186" s="76">
        <v>76234.62</v>
      </c>
      <c r="H186" s="76"/>
      <c r="I186" s="76">
        <v>121998.75</v>
      </c>
      <c r="J186" s="76"/>
      <c r="K186" s="76">
        <v>0</v>
      </c>
      <c r="L186" s="76"/>
      <c r="M186" s="76">
        <v>0</v>
      </c>
      <c r="N186" s="76"/>
      <c r="O186" s="76">
        <v>5143.2700000000004</v>
      </c>
      <c r="P186" s="76"/>
      <c r="Q186" s="76">
        <v>897.52</v>
      </c>
      <c r="R186" s="76"/>
      <c r="S186" s="76">
        <v>13081.61</v>
      </c>
      <c r="T186" s="76"/>
      <c r="U186" s="76">
        <v>0</v>
      </c>
      <c r="V186" s="76"/>
      <c r="W186" s="76">
        <v>0</v>
      </c>
      <c r="X186" s="76"/>
      <c r="Y186" s="76">
        <v>0</v>
      </c>
      <c r="Z186" s="76"/>
      <c r="AA186" s="76">
        <v>0</v>
      </c>
      <c r="AB186" s="76"/>
      <c r="AC186" s="76">
        <v>0</v>
      </c>
      <c r="AD186" s="76"/>
      <c r="AE186" s="76">
        <v>0</v>
      </c>
      <c r="AF186" s="76"/>
      <c r="AG186" s="76">
        <v>0</v>
      </c>
      <c r="AH186"/>
      <c r="AI186" s="76">
        <f t="shared" si="2"/>
        <v>232034.19999999995</v>
      </c>
      <c r="AJ186" s="10"/>
      <c r="AK186" s="21"/>
      <c r="AL186" s="21"/>
      <c r="AM186" s="21"/>
    </row>
    <row r="187" spans="1:39" ht="12" customHeight="1" x14ac:dyDescent="0.2">
      <c r="A187" s="1" t="s">
        <v>203</v>
      </c>
      <c r="C187" s="1" t="s">
        <v>797</v>
      </c>
      <c r="E187" s="76">
        <v>7533.32</v>
      </c>
      <c r="F187" s="76"/>
      <c r="G187" s="76">
        <v>0</v>
      </c>
      <c r="H187" s="76"/>
      <c r="I187" s="76">
        <v>28053.34</v>
      </c>
      <c r="J187" s="76"/>
      <c r="K187" s="76">
        <v>0</v>
      </c>
      <c r="L187" s="76"/>
      <c r="M187" s="76">
        <v>14500</v>
      </c>
      <c r="N187" s="76"/>
      <c r="O187" s="76">
        <v>0</v>
      </c>
      <c r="P187" s="76"/>
      <c r="Q187" s="76">
        <v>66.91</v>
      </c>
      <c r="R187" s="76"/>
      <c r="S187" s="76">
        <v>335</v>
      </c>
      <c r="T187" s="76"/>
      <c r="U187" s="76">
        <v>0</v>
      </c>
      <c r="V187" s="76"/>
      <c r="W187" s="76">
        <v>0</v>
      </c>
      <c r="X187" s="76"/>
      <c r="Y187" s="76">
        <v>0</v>
      </c>
      <c r="Z187" s="76"/>
      <c r="AA187" s="76">
        <v>0</v>
      </c>
      <c r="AB187" s="76"/>
      <c r="AC187" s="76">
        <v>0</v>
      </c>
      <c r="AD187" s="76"/>
      <c r="AE187" s="76">
        <v>0</v>
      </c>
      <c r="AF187" s="76"/>
      <c r="AG187" s="76">
        <v>0</v>
      </c>
      <c r="AH187"/>
      <c r="AI187" s="76">
        <f t="shared" si="2"/>
        <v>50488.570000000007</v>
      </c>
      <c r="AJ187" s="10"/>
    </row>
    <row r="188" spans="1:39" ht="12" customHeight="1" x14ac:dyDescent="0.2">
      <c r="A188" s="1" t="s">
        <v>542</v>
      </c>
      <c r="C188" s="1" t="s">
        <v>540</v>
      </c>
      <c r="E188" s="76">
        <v>47199.05</v>
      </c>
      <c r="F188" s="76"/>
      <c r="G188" s="76">
        <v>301253.17</v>
      </c>
      <c r="H188" s="76"/>
      <c r="I188" s="76">
        <v>61803.15</v>
      </c>
      <c r="J188" s="76"/>
      <c r="K188" s="76">
        <v>0</v>
      </c>
      <c r="L188" s="76"/>
      <c r="M188" s="76">
        <v>648.28</v>
      </c>
      <c r="N188" s="76"/>
      <c r="O188" s="76">
        <v>39858</v>
      </c>
      <c r="P188" s="76"/>
      <c r="Q188" s="76">
        <v>1293.45</v>
      </c>
      <c r="R188" s="76"/>
      <c r="S188" s="76">
        <v>0</v>
      </c>
      <c r="T188" s="76"/>
      <c r="U188" s="76">
        <v>0</v>
      </c>
      <c r="V188" s="76"/>
      <c r="W188" s="76">
        <v>0</v>
      </c>
      <c r="X188" s="76"/>
      <c r="Y188" s="76">
        <v>0</v>
      </c>
      <c r="Z188" s="76"/>
      <c r="AA188" s="76">
        <v>0</v>
      </c>
      <c r="AB188" s="76"/>
      <c r="AC188" s="76">
        <v>0</v>
      </c>
      <c r="AD188" s="76"/>
      <c r="AE188" s="76">
        <v>0</v>
      </c>
      <c r="AF188" s="76"/>
      <c r="AG188" s="76">
        <v>8015.2</v>
      </c>
      <c r="AH188"/>
      <c r="AI188" s="76">
        <f t="shared" si="2"/>
        <v>460070.30000000005</v>
      </c>
      <c r="AJ188" s="10"/>
      <c r="AK188" s="21"/>
      <c r="AL188" s="21"/>
      <c r="AM188" s="21"/>
    </row>
    <row r="189" spans="1:39" s="21" customFormat="1" ht="12" customHeight="1" x14ac:dyDescent="0.2">
      <c r="A189" s="1" t="s">
        <v>944</v>
      </c>
      <c r="B189" s="1"/>
      <c r="C189" s="1" t="s">
        <v>305</v>
      </c>
      <c r="D189" s="1"/>
      <c r="E189" s="76">
        <v>1071056</v>
      </c>
      <c r="F189" s="76"/>
      <c r="G189" s="76">
        <v>0</v>
      </c>
      <c r="H189" s="76"/>
      <c r="I189" s="76">
        <v>86300</v>
      </c>
      <c r="J189" s="76"/>
      <c r="K189" s="76">
        <v>0</v>
      </c>
      <c r="L189" s="76"/>
      <c r="M189" s="76">
        <v>171319</v>
      </c>
      <c r="N189" s="76"/>
      <c r="O189" s="76">
        <f>71605+14148</f>
        <v>85753</v>
      </c>
      <c r="P189" s="76"/>
      <c r="Q189" s="76">
        <v>534</v>
      </c>
      <c r="R189" s="76"/>
      <c r="S189" s="76">
        <v>11835</v>
      </c>
      <c r="T189" s="76"/>
      <c r="U189" s="76">
        <v>0</v>
      </c>
      <c r="V189" s="76"/>
      <c r="W189" s="76">
        <v>0</v>
      </c>
      <c r="X189" s="76"/>
      <c r="Y189" s="76">
        <v>0</v>
      </c>
      <c r="Z189" s="76"/>
      <c r="AA189" s="76">
        <v>0</v>
      </c>
      <c r="AB189" s="76"/>
      <c r="AC189" s="76">
        <v>0</v>
      </c>
      <c r="AD189" s="76"/>
      <c r="AE189" s="76">
        <v>0</v>
      </c>
      <c r="AF189" s="76"/>
      <c r="AG189" s="76">
        <v>0</v>
      </c>
      <c r="AH189" s="76"/>
      <c r="AI189" s="76">
        <f t="shared" si="2"/>
        <v>1426797</v>
      </c>
      <c r="AJ189" s="10"/>
    </row>
    <row r="190" spans="1:39" ht="12" customHeight="1" x14ac:dyDescent="0.2">
      <c r="A190" s="1" t="s">
        <v>224</v>
      </c>
      <c r="C190" s="1" t="s">
        <v>804</v>
      </c>
      <c r="E190" s="76">
        <v>132284.32999999999</v>
      </c>
      <c r="F190" s="76"/>
      <c r="G190" s="76">
        <v>0</v>
      </c>
      <c r="H190" s="76"/>
      <c r="I190" s="76">
        <v>22957.02</v>
      </c>
      <c r="J190" s="76"/>
      <c r="K190" s="76">
        <v>0</v>
      </c>
      <c r="L190" s="76"/>
      <c r="M190" s="76">
        <v>675</v>
      </c>
      <c r="N190" s="76"/>
      <c r="O190" s="76">
        <v>12828.05</v>
      </c>
      <c r="P190" s="76"/>
      <c r="Q190" s="76">
        <v>135</v>
      </c>
      <c r="R190" s="76"/>
      <c r="S190" s="76">
        <v>63887.11</v>
      </c>
      <c r="T190" s="76"/>
      <c r="U190" s="76">
        <v>0</v>
      </c>
      <c r="V190" s="76"/>
      <c r="W190" s="76">
        <v>0</v>
      </c>
      <c r="X190" s="76"/>
      <c r="Y190" s="76">
        <v>0</v>
      </c>
      <c r="Z190" s="76"/>
      <c r="AA190" s="76">
        <v>0</v>
      </c>
      <c r="AB190" s="76"/>
      <c r="AC190" s="76">
        <v>0</v>
      </c>
      <c r="AD190" s="76"/>
      <c r="AE190" s="76">
        <v>0</v>
      </c>
      <c r="AF190" s="76"/>
      <c r="AG190" s="76">
        <v>0</v>
      </c>
      <c r="AH190"/>
      <c r="AI190" s="76">
        <f t="shared" si="2"/>
        <v>232766.50999999995</v>
      </c>
      <c r="AJ190" s="10"/>
    </row>
    <row r="191" spans="1:39" ht="12" customHeight="1" x14ac:dyDescent="0.2">
      <c r="A191" s="1" t="s">
        <v>595</v>
      </c>
      <c r="C191" s="1" t="s">
        <v>596</v>
      </c>
      <c r="E191" s="76">
        <v>188294</v>
      </c>
      <c r="F191" s="76"/>
      <c r="G191" s="76">
        <v>294296</v>
      </c>
      <c r="H191" s="76"/>
      <c r="I191" s="76">
        <v>90653</v>
      </c>
      <c r="J191" s="76"/>
      <c r="K191" s="76">
        <v>0</v>
      </c>
      <c r="L191" s="76"/>
      <c r="M191" s="76">
        <v>38924</v>
      </c>
      <c r="N191" s="76"/>
      <c r="O191" s="76">
        <v>15005</v>
      </c>
      <c r="P191" s="76"/>
      <c r="Q191" s="76">
        <v>1228</v>
      </c>
      <c r="R191" s="76"/>
      <c r="S191" s="76">
        <v>40999</v>
      </c>
      <c r="T191" s="76"/>
      <c r="U191" s="76">
        <v>0</v>
      </c>
      <c r="V191" s="76"/>
      <c r="W191" s="76">
        <v>0</v>
      </c>
      <c r="X191" s="76"/>
      <c r="Y191" s="76">
        <v>0</v>
      </c>
      <c r="Z191" s="76"/>
      <c r="AA191" s="76">
        <v>0</v>
      </c>
      <c r="AB191" s="76"/>
      <c r="AC191" s="76">
        <v>0</v>
      </c>
      <c r="AD191" s="76"/>
      <c r="AE191" s="76">
        <v>0</v>
      </c>
      <c r="AF191" s="76"/>
      <c r="AG191" s="76">
        <v>0</v>
      </c>
      <c r="AH191" s="76"/>
      <c r="AI191" s="76">
        <f t="shared" si="2"/>
        <v>669399</v>
      </c>
      <c r="AJ191" s="10"/>
      <c r="AK191" s="21"/>
      <c r="AL191" s="21"/>
      <c r="AM191" s="21"/>
    </row>
    <row r="192" spans="1:39" s="21" customFormat="1" ht="12" customHeight="1" x14ac:dyDescent="0.2">
      <c r="A192" s="1" t="s">
        <v>172</v>
      </c>
      <c r="B192" s="1"/>
      <c r="C192" s="1" t="s">
        <v>788</v>
      </c>
      <c r="D192" s="1"/>
      <c r="E192" s="76">
        <v>24769.040000000001</v>
      </c>
      <c r="F192" s="76"/>
      <c r="G192" s="76">
        <v>25995.78</v>
      </c>
      <c r="H192" s="76"/>
      <c r="I192" s="76">
        <v>14196.31</v>
      </c>
      <c r="J192" s="76"/>
      <c r="K192" s="76">
        <v>0</v>
      </c>
      <c r="L192" s="76"/>
      <c r="M192" s="76">
        <v>0</v>
      </c>
      <c r="N192" s="76"/>
      <c r="O192" s="76">
        <v>11180.99</v>
      </c>
      <c r="P192" s="76"/>
      <c r="Q192" s="76">
        <v>25.03</v>
      </c>
      <c r="R192" s="76"/>
      <c r="S192" s="76">
        <v>2448.3200000000002</v>
      </c>
      <c r="T192" s="76"/>
      <c r="U192" s="76">
        <v>0</v>
      </c>
      <c r="V192" s="76"/>
      <c r="W192" s="76">
        <v>0</v>
      </c>
      <c r="X192" s="76"/>
      <c r="Y192" s="76">
        <v>0</v>
      </c>
      <c r="Z192" s="76"/>
      <c r="AA192" s="76">
        <v>0</v>
      </c>
      <c r="AB192" s="76"/>
      <c r="AC192" s="76">
        <v>0</v>
      </c>
      <c r="AD192" s="76"/>
      <c r="AE192" s="76">
        <v>2472.04</v>
      </c>
      <c r="AF192" s="76"/>
      <c r="AG192" s="76">
        <v>0</v>
      </c>
      <c r="AH192"/>
      <c r="AI192" s="76">
        <f t="shared" si="2"/>
        <v>81087.509999999995</v>
      </c>
      <c r="AJ192" s="10"/>
      <c r="AK192" s="1"/>
      <c r="AL192" s="1"/>
      <c r="AM192" s="1"/>
    </row>
    <row r="193" spans="1:39" s="21" customFormat="1" ht="12" customHeight="1" x14ac:dyDescent="0.2">
      <c r="A193" s="1" t="s">
        <v>253</v>
      </c>
      <c r="B193" s="1"/>
      <c r="C193" s="1" t="s">
        <v>812</v>
      </c>
      <c r="D193" s="1"/>
      <c r="E193" s="76">
        <v>22481.4</v>
      </c>
      <c r="F193" s="76"/>
      <c r="G193" s="76">
        <v>248544.9</v>
      </c>
      <c r="H193" s="76"/>
      <c r="I193" s="76">
        <v>70460.539999999994</v>
      </c>
      <c r="J193" s="76"/>
      <c r="K193" s="76">
        <v>1563.29</v>
      </c>
      <c r="L193" s="76"/>
      <c r="M193" s="76">
        <v>0</v>
      </c>
      <c r="N193" s="76"/>
      <c r="O193" s="76">
        <v>6828.65</v>
      </c>
      <c r="P193" s="76"/>
      <c r="Q193" s="76">
        <v>668.85</v>
      </c>
      <c r="R193" s="76"/>
      <c r="S193" s="76">
        <v>32871.230000000003</v>
      </c>
      <c r="T193" s="76"/>
      <c r="U193" s="76">
        <v>0</v>
      </c>
      <c r="V193" s="76"/>
      <c r="W193" s="76">
        <v>0</v>
      </c>
      <c r="X193" s="76"/>
      <c r="Y193" s="76">
        <v>0</v>
      </c>
      <c r="Z193" s="76"/>
      <c r="AA193" s="76">
        <v>0</v>
      </c>
      <c r="AB193" s="76"/>
      <c r="AC193" s="76">
        <v>0</v>
      </c>
      <c r="AD193" s="76"/>
      <c r="AE193" s="76">
        <v>5078.37</v>
      </c>
      <c r="AF193" s="76"/>
      <c r="AG193" s="76">
        <v>0</v>
      </c>
      <c r="AH193"/>
      <c r="AI193" s="76">
        <f t="shared" si="2"/>
        <v>388497.22999999992</v>
      </c>
      <c r="AJ193" s="10"/>
      <c r="AK193" s="1"/>
      <c r="AL193" s="1"/>
      <c r="AM193" s="1"/>
    </row>
    <row r="194" spans="1:39" s="21" customFormat="1" ht="12" customHeight="1" x14ac:dyDescent="0.2">
      <c r="A194" s="1" t="s">
        <v>200</v>
      </c>
      <c r="B194" s="1"/>
      <c r="C194" s="1" t="s">
        <v>796</v>
      </c>
      <c r="D194" s="1"/>
      <c r="E194" s="76">
        <v>24277.11</v>
      </c>
      <c r="F194" s="76"/>
      <c r="G194" s="76">
        <v>0</v>
      </c>
      <c r="H194" s="76"/>
      <c r="I194" s="76">
        <v>30143.77</v>
      </c>
      <c r="J194" s="76"/>
      <c r="K194" s="76">
        <v>0</v>
      </c>
      <c r="L194" s="76"/>
      <c r="M194" s="76">
        <v>37505.42</v>
      </c>
      <c r="N194" s="76"/>
      <c r="O194" s="76">
        <v>330</v>
      </c>
      <c r="P194" s="76"/>
      <c r="Q194" s="76">
        <v>3936.13</v>
      </c>
      <c r="R194" s="76"/>
      <c r="S194" s="76">
        <v>2180.3000000000002</v>
      </c>
      <c r="T194" s="76"/>
      <c r="U194" s="76">
        <v>0</v>
      </c>
      <c r="V194" s="76"/>
      <c r="W194" s="76">
        <v>0</v>
      </c>
      <c r="X194" s="76"/>
      <c r="Y194" s="76">
        <v>0</v>
      </c>
      <c r="Z194" s="76"/>
      <c r="AA194" s="76">
        <v>17408.13</v>
      </c>
      <c r="AB194" s="76"/>
      <c r="AC194" s="76">
        <v>0</v>
      </c>
      <c r="AD194" s="76"/>
      <c r="AE194" s="76">
        <v>0</v>
      </c>
      <c r="AF194" s="76"/>
      <c r="AG194" s="76">
        <v>0</v>
      </c>
      <c r="AH194"/>
      <c r="AI194" s="76">
        <f t="shared" si="2"/>
        <v>115780.86000000002</v>
      </c>
      <c r="AJ194" s="10"/>
      <c r="AK194" s="1"/>
      <c r="AL194" s="1"/>
      <c r="AM194" s="1"/>
    </row>
    <row r="195" spans="1:39" s="21" customFormat="1" ht="12" hidden="1" customHeight="1" x14ac:dyDescent="0.2">
      <c r="A195" s="1" t="s">
        <v>571</v>
      </c>
      <c r="B195" s="1"/>
      <c r="C195" s="1" t="s">
        <v>808</v>
      </c>
      <c r="D195" s="1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/>
      <c r="AI195" s="76">
        <f t="shared" si="2"/>
        <v>0</v>
      </c>
      <c r="AJ195" s="10"/>
      <c r="AK195" s="1"/>
      <c r="AL195" s="1"/>
      <c r="AM195" s="1"/>
    </row>
    <row r="196" spans="1:39" s="31" customFormat="1" ht="12" customHeight="1" x14ac:dyDescent="0.2">
      <c r="A196" s="1" t="s">
        <v>3</v>
      </c>
      <c r="B196" s="1"/>
      <c r="C196" s="1" t="s">
        <v>737</v>
      </c>
      <c r="D196" s="1"/>
      <c r="E196" s="76">
        <v>65417.05</v>
      </c>
      <c r="F196" s="76"/>
      <c r="G196" s="76">
        <v>0</v>
      </c>
      <c r="H196" s="76"/>
      <c r="I196" s="76">
        <v>54025.56</v>
      </c>
      <c r="J196" s="76"/>
      <c r="K196" s="76">
        <v>0</v>
      </c>
      <c r="L196" s="76"/>
      <c r="M196" s="76">
        <v>0</v>
      </c>
      <c r="N196" s="76"/>
      <c r="O196" s="76">
        <v>27601.82</v>
      </c>
      <c r="P196" s="76"/>
      <c r="Q196" s="76">
        <v>361.41</v>
      </c>
      <c r="R196" s="76"/>
      <c r="S196" s="76">
        <v>2450.1999999999998</v>
      </c>
      <c r="T196" s="76"/>
      <c r="U196" s="76">
        <v>0</v>
      </c>
      <c r="V196" s="76"/>
      <c r="W196" s="76">
        <v>0</v>
      </c>
      <c r="X196" s="76"/>
      <c r="Y196" s="76">
        <v>0</v>
      </c>
      <c r="Z196" s="76"/>
      <c r="AA196" s="76">
        <v>461069.15</v>
      </c>
      <c r="AB196" s="76"/>
      <c r="AC196" s="76">
        <v>0</v>
      </c>
      <c r="AD196" s="76"/>
      <c r="AE196" s="76">
        <v>0</v>
      </c>
      <c r="AF196" s="76"/>
      <c r="AG196" s="76">
        <v>0</v>
      </c>
      <c r="AH196"/>
      <c r="AI196" s="76">
        <f t="shared" si="2"/>
        <v>610925.19000000006</v>
      </c>
      <c r="AJ196" s="10"/>
      <c r="AK196" s="21"/>
      <c r="AL196" s="21"/>
      <c r="AM196" s="21"/>
    </row>
    <row r="197" spans="1:39" ht="12" customHeight="1" x14ac:dyDescent="0.2">
      <c r="A197" s="1" t="s">
        <v>180</v>
      </c>
      <c r="C197" s="1" t="s">
        <v>791</v>
      </c>
      <c r="E197" s="76">
        <v>177516</v>
      </c>
      <c r="F197" s="76"/>
      <c r="G197" s="76">
        <v>282403.59999999998</v>
      </c>
      <c r="H197" s="76"/>
      <c r="I197" s="76">
        <v>65732.990000000005</v>
      </c>
      <c r="J197" s="76"/>
      <c r="K197" s="76">
        <v>0</v>
      </c>
      <c r="L197" s="76"/>
      <c r="M197" s="76">
        <v>2650</v>
      </c>
      <c r="N197" s="76"/>
      <c r="O197" s="76">
        <v>14400.53</v>
      </c>
      <c r="P197" s="76"/>
      <c r="Q197" s="76">
        <v>3048.87</v>
      </c>
      <c r="R197" s="76"/>
      <c r="S197" s="76">
        <v>14766.25</v>
      </c>
      <c r="T197" s="76"/>
      <c r="U197" s="76">
        <v>0</v>
      </c>
      <c r="V197" s="76"/>
      <c r="W197" s="76">
        <v>0</v>
      </c>
      <c r="X197" s="76"/>
      <c r="Y197" s="76">
        <v>0</v>
      </c>
      <c r="Z197" s="76"/>
      <c r="AA197" s="76">
        <v>0</v>
      </c>
      <c r="AB197" s="76"/>
      <c r="AC197" s="76">
        <v>0</v>
      </c>
      <c r="AD197" s="76"/>
      <c r="AE197" s="76">
        <v>0</v>
      </c>
      <c r="AF197" s="76"/>
      <c r="AG197" s="76">
        <v>0</v>
      </c>
      <c r="AH197"/>
      <c r="AI197" s="76">
        <f t="shared" si="2"/>
        <v>560518.24</v>
      </c>
      <c r="AJ197" s="10"/>
    </row>
    <row r="198" spans="1:39" ht="12" customHeight="1" x14ac:dyDescent="0.2">
      <c r="A198" s="1" t="s">
        <v>92</v>
      </c>
      <c r="C198" s="1" t="s">
        <v>378</v>
      </c>
      <c r="E198" s="76">
        <v>240245.45</v>
      </c>
      <c r="F198" s="76"/>
      <c r="G198" s="76">
        <v>274684.76</v>
      </c>
      <c r="H198" s="76"/>
      <c r="I198" s="76">
        <v>78915.100000000006</v>
      </c>
      <c r="J198" s="76"/>
      <c r="K198" s="76">
        <v>0</v>
      </c>
      <c r="L198" s="76"/>
      <c r="M198" s="76">
        <v>212377.94</v>
      </c>
      <c r="N198" s="76"/>
      <c r="O198" s="76">
        <v>858237.95</v>
      </c>
      <c r="P198" s="76"/>
      <c r="Q198" s="76">
        <v>279.07</v>
      </c>
      <c r="R198" s="76"/>
      <c r="S198" s="76">
        <v>24590.67</v>
      </c>
      <c r="T198" s="76"/>
      <c r="U198" s="76">
        <v>0</v>
      </c>
      <c r="V198" s="76"/>
      <c r="W198" s="76">
        <v>0</v>
      </c>
      <c r="X198" s="76"/>
      <c r="Y198" s="76">
        <v>0</v>
      </c>
      <c r="Z198" s="76"/>
      <c r="AA198" s="76">
        <v>0</v>
      </c>
      <c r="AB198" s="76"/>
      <c r="AC198" s="76">
        <v>0</v>
      </c>
      <c r="AD198" s="76"/>
      <c r="AE198" s="76">
        <v>0</v>
      </c>
      <c r="AF198" s="76"/>
      <c r="AG198" s="76">
        <v>0</v>
      </c>
      <c r="AH198" s="81"/>
      <c r="AI198" s="76">
        <f t="shared" si="2"/>
        <v>1689330.94</v>
      </c>
      <c r="AJ198" s="10"/>
      <c r="AK198" s="21"/>
      <c r="AL198" s="21"/>
      <c r="AM198" s="21"/>
    </row>
    <row r="199" spans="1:39" ht="12" customHeight="1" x14ac:dyDescent="0.2">
      <c r="A199" s="1" t="s">
        <v>117</v>
      </c>
      <c r="C199" s="1" t="s">
        <v>770</v>
      </c>
      <c r="E199" s="76">
        <v>9569.26</v>
      </c>
      <c r="F199" s="76"/>
      <c r="G199" s="76">
        <v>0</v>
      </c>
      <c r="H199" s="76"/>
      <c r="I199" s="76">
        <v>8775.02</v>
      </c>
      <c r="J199" s="76"/>
      <c r="K199" s="76">
        <v>0</v>
      </c>
      <c r="L199" s="76"/>
      <c r="M199" s="76">
        <v>0</v>
      </c>
      <c r="N199" s="76"/>
      <c r="O199" s="76">
        <v>9898.14</v>
      </c>
      <c r="P199" s="76"/>
      <c r="Q199" s="76">
        <v>16.96</v>
      </c>
      <c r="R199" s="76"/>
      <c r="S199" s="76">
        <v>0</v>
      </c>
      <c r="T199" s="76"/>
      <c r="U199" s="76">
        <v>0</v>
      </c>
      <c r="V199" s="76"/>
      <c r="W199" s="76">
        <v>0</v>
      </c>
      <c r="X199" s="76"/>
      <c r="Y199" s="76">
        <v>0</v>
      </c>
      <c r="Z199" s="76"/>
      <c r="AA199" s="76">
        <v>0</v>
      </c>
      <c r="AB199" s="76"/>
      <c r="AC199" s="76">
        <v>0</v>
      </c>
      <c r="AD199" s="76"/>
      <c r="AE199" s="76">
        <v>0</v>
      </c>
      <c r="AF199" s="76"/>
      <c r="AG199" s="76">
        <v>0</v>
      </c>
      <c r="AH199" s="81"/>
      <c r="AI199" s="76">
        <f t="shared" si="2"/>
        <v>28259.379999999997</v>
      </c>
      <c r="AJ199" s="10"/>
    </row>
    <row r="200" spans="1:39" ht="12" customHeight="1" x14ac:dyDescent="0.2">
      <c r="A200" s="1" t="s">
        <v>291</v>
      </c>
      <c r="C200" s="1" t="s">
        <v>292</v>
      </c>
      <c r="E200" s="76">
        <f>136773+14792</f>
        <v>151565</v>
      </c>
      <c r="F200" s="76"/>
      <c r="G200" s="76">
        <v>0</v>
      </c>
      <c r="H200" s="76"/>
      <c r="I200" s="76">
        <f>71241+7804</f>
        <v>79045</v>
      </c>
      <c r="J200" s="76"/>
      <c r="K200" s="76">
        <v>120</v>
      </c>
      <c r="L200" s="76"/>
      <c r="M200" s="76">
        <v>17041</v>
      </c>
      <c r="N200" s="76"/>
      <c r="O200" s="76">
        <f>2694+42987</f>
        <v>45681</v>
      </c>
      <c r="P200" s="76"/>
      <c r="Q200" s="76">
        <v>1230</v>
      </c>
      <c r="R200" s="76"/>
      <c r="S200" s="76">
        <f>54196+1400</f>
        <v>55596</v>
      </c>
      <c r="T200" s="76"/>
      <c r="U200" s="76">
        <v>0</v>
      </c>
      <c r="V200" s="76"/>
      <c r="W200" s="76">
        <v>0</v>
      </c>
      <c r="X200" s="76"/>
      <c r="Y200" s="76">
        <v>0</v>
      </c>
      <c r="Z200" s="76"/>
      <c r="AA200" s="76">
        <v>0</v>
      </c>
      <c r="AB200" s="76"/>
      <c r="AC200" s="76">
        <v>5281</v>
      </c>
      <c r="AD200" s="76"/>
      <c r="AE200" s="76">
        <v>0</v>
      </c>
      <c r="AF200" s="76"/>
      <c r="AG200" s="76">
        <v>0</v>
      </c>
      <c r="AH200" s="76"/>
      <c r="AI200" s="76">
        <f t="shared" si="2"/>
        <v>355559</v>
      </c>
      <c r="AJ200" s="10"/>
      <c r="AK200" s="22"/>
      <c r="AL200" s="22"/>
      <c r="AM200" s="22"/>
    </row>
    <row r="201" spans="1:39" ht="12" customHeight="1" x14ac:dyDescent="0.2">
      <c r="A201" s="1" t="s">
        <v>380</v>
      </c>
      <c r="C201" s="1" t="s">
        <v>378</v>
      </c>
      <c r="E201" s="76">
        <v>0</v>
      </c>
      <c r="F201" s="76"/>
      <c r="G201" s="76">
        <v>12748063</v>
      </c>
      <c r="H201" s="76"/>
      <c r="I201" s="76">
        <v>248000</v>
      </c>
      <c r="J201" s="76"/>
      <c r="K201" s="76">
        <v>0</v>
      </c>
      <c r="L201" s="76"/>
      <c r="M201" s="76">
        <v>253220</v>
      </c>
      <c r="N201" s="76"/>
      <c r="O201" s="76">
        <v>261587</v>
      </c>
      <c r="P201" s="76"/>
      <c r="Q201" s="76">
        <v>6969</v>
      </c>
      <c r="R201" s="76"/>
      <c r="S201" s="76">
        <v>0</v>
      </c>
      <c r="T201" s="76"/>
      <c r="U201" s="76">
        <v>0</v>
      </c>
      <c r="V201" s="76"/>
      <c r="W201" s="76">
        <v>0</v>
      </c>
      <c r="X201" s="76"/>
      <c r="Y201" s="76">
        <v>38383</v>
      </c>
      <c r="Z201" s="76"/>
      <c r="AA201" s="76">
        <v>200000</v>
      </c>
      <c r="AB201" s="76"/>
      <c r="AC201" s="76">
        <v>25000</v>
      </c>
      <c r="AD201" s="76"/>
      <c r="AE201" s="76">
        <v>19881</v>
      </c>
      <c r="AF201" s="76"/>
      <c r="AG201" s="76">
        <v>0</v>
      </c>
      <c r="AH201" s="76"/>
      <c r="AI201" s="76">
        <f t="shared" si="2"/>
        <v>13801103</v>
      </c>
      <c r="AJ201" s="36"/>
      <c r="AK201" s="21"/>
      <c r="AL201" s="21"/>
      <c r="AM201" s="21"/>
    </row>
    <row r="202" spans="1:39" ht="12" customHeight="1" x14ac:dyDescent="0.2">
      <c r="A202" s="1" t="s">
        <v>93</v>
      </c>
      <c r="C202" s="1" t="s">
        <v>763</v>
      </c>
      <c r="E202" s="76">
        <v>124695.7</v>
      </c>
      <c r="F202" s="76"/>
      <c r="G202" s="76">
        <v>2836293.22</v>
      </c>
      <c r="H202" s="76"/>
      <c r="I202" s="76">
        <v>74508.100000000006</v>
      </c>
      <c r="J202" s="76"/>
      <c r="K202" s="76">
        <v>0</v>
      </c>
      <c r="L202" s="76"/>
      <c r="M202" s="76">
        <v>19223.5</v>
      </c>
      <c r="N202" s="76"/>
      <c r="O202" s="76">
        <v>137976.87</v>
      </c>
      <c r="P202" s="76"/>
      <c r="Q202" s="76">
        <v>4884.1099999999997</v>
      </c>
      <c r="R202" s="76"/>
      <c r="S202" s="76">
        <v>27294.68</v>
      </c>
      <c r="T202" s="76"/>
      <c r="U202" s="76">
        <v>0</v>
      </c>
      <c r="V202" s="76"/>
      <c r="W202" s="76">
        <v>0</v>
      </c>
      <c r="X202" s="76"/>
      <c r="Y202" s="76">
        <v>0</v>
      </c>
      <c r="Z202" s="76"/>
      <c r="AA202" s="76">
        <v>20366.14</v>
      </c>
      <c r="AB202" s="76"/>
      <c r="AC202" s="76">
        <v>825</v>
      </c>
      <c r="AD202" s="76"/>
      <c r="AE202" s="76">
        <v>0</v>
      </c>
      <c r="AF202" s="76"/>
      <c r="AG202" s="76">
        <v>0</v>
      </c>
      <c r="AH202"/>
      <c r="AI202" s="76">
        <f t="shared" si="2"/>
        <v>3246067.3200000008</v>
      </c>
      <c r="AJ202" s="10"/>
      <c r="AK202" s="21"/>
      <c r="AL202" s="21"/>
      <c r="AM202" s="21"/>
    </row>
    <row r="203" spans="1:39" ht="12" customHeight="1" x14ac:dyDescent="0.2">
      <c r="A203" s="1" t="s">
        <v>429</v>
      </c>
      <c r="C203" s="1" t="s">
        <v>430</v>
      </c>
      <c r="E203" s="76">
        <v>441382.57</v>
      </c>
      <c r="F203" s="76"/>
      <c r="G203" s="76">
        <v>648789.76000000001</v>
      </c>
      <c r="H203" s="76"/>
      <c r="I203" s="76">
        <v>516476.3</v>
      </c>
      <c r="J203" s="76"/>
      <c r="K203" s="76">
        <v>0</v>
      </c>
      <c r="L203" s="76"/>
      <c r="M203" s="76">
        <v>155531.23000000001</v>
      </c>
      <c r="N203" s="76"/>
      <c r="O203" s="76">
        <v>99748</v>
      </c>
      <c r="P203" s="76"/>
      <c r="Q203" s="76">
        <v>3390.97</v>
      </c>
      <c r="R203" s="76"/>
      <c r="S203" s="76">
        <v>53264.94</v>
      </c>
      <c r="T203" s="76"/>
      <c r="U203" s="76">
        <v>0</v>
      </c>
      <c r="V203" s="76"/>
      <c r="W203" s="76">
        <v>0</v>
      </c>
      <c r="X203" s="76"/>
      <c r="Y203" s="76">
        <v>0</v>
      </c>
      <c r="Z203" s="76"/>
      <c r="AA203" s="76">
        <v>0</v>
      </c>
      <c r="AB203" s="76"/>
      <c r="AC203" s="76">
        <v>25165</v>
      </c>
      <c r="AD203" s="76"/>
      <c r="AE203" s="76">
        <v>0</v>
      </c>
      <c r="AF203" s="76"/>
      <c r="AG203" s="76">
        <v>0</v>
      </c>
      <c r="AH203"/>
      <c r="AI203" s="76">
        <f t="shared" si="2"/>
        <v>1943748.77</v>
      </c>
      <c r="AJ203" s="10"/>
      <c r="AK203" s="21"/>
      <c r="AL203" s="21"/>
      <c r="AM203" s="21"/>
    </row>
    <row r="204" spans="1:39" ht="12" hidden="1" customHeight="1" x14ac:dyDescent="0.2">
      <c r="A204" s="1" t="s">
        <v>886</v>
      </c>
      <c r="C204" s="1" t="s">
        <v>762</v>
      </c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/>
      <c r="AI204" s="76">
        <f t="shared" si="2"/>
        <v>0</v>
      </c>
      <c r="AJ204" s="10"/>
      <c r="AK204" s="21"/>
      <c r="AL204" s="21"/>
      <c r="AM204" s="21"/>
    </row>
    <row r="205" spans="1:39" ht="12" customHeight="1" x14ac:dyDescent="0.2">
      <c r="A205" s="1" t="s">
        <v>167</v>
      </c>
      <c r="C205" s="1" t="s">
        <v>786</v>
      </c>
      <c r="E205" s="76">
        <v>79560.33</v>
      </c>
      <c r="F205" s="76"/>
      <c r="G205" s="76">
        <v>147930.75</v>
      </c>
      <c r="H205" s="76"/>
      <c r="I205" s="76">
        <v>74275.179999999993</v>
      </c>
      <c r="J205" s="76"/>
      <c r="K205" s="76">
        <v>375</v>
      </c>
      <c r="L205" s="76"/>
      <c r="M205" s="76">
        <v>3900</v>
      </c>
      <c r="N205" s="76"/>
      <c r="O205" s="76">
        <v>5966.63</v>
      </c>
      <c r="P205" s="76"/>
      <c r="Q205" s="76">
        <v>1512.14</v>
      </c>
      <c r="R205" s="76"/>
      <c r="S205" s="76">
        <v>12578.52</v>
      </c>
      <c r="T205" s="76"/>
      <c r="U205" s="76">
        <v>0</v>
      </c>
      <c r="V205" s="76"/>
      <c r="W205" s="76">
        <v>0</v>
      </c>
      <c r="X205" s="76"/>
      <c r="Y205" s="76">
        <v>0</v>
      </c>
      <c r="Z205" s="76"/>
      <c r="AA205" s="76">
        <v>0</v>
      </c>
      <c r="AB205" s="76"/>
      <c r="AC205" s="76">
        <v>0</v>
      </c>
      <c r="AD205" s="76"/>
      <c r="AE205" s="76">
        <v>0</v>
      </c>
      <c r="AF205" s="76"/>
      <c r="AG205" s="76">
        <v>0</v>
      </c>
      <c r="AH205"/>
      <c r="AI205" s="76">
        <f t="shared" si="2"/>
        <v>326098.55000000005</v>
      </c>
      <c r="AJ205" s="10"/>
    </row>
    <row r="206" spans="1:39" ht="12" customHeight="1" x14ac:dyDescent="0.2">
      <c r="A206" s="1" t="s">
        <v>360</v>
      </c>
      <c r="C206" s="1" t="s">
        <v>358</v>
      </c>
      <c r="E206" s="76">
        <v>53282</v>
      </c>
      <c r="F206" s="76"/>
      <c r="G206" s="76">
        <v>287589</v>
      </c>
      <c r="H206" s="76"/>
      <c r="I206" s="76">
        <v>48641</v>
      </c>
      <c r="J206" s="76"/>
      <c r="K206" s="76">
        <v>0</v>
      </c>
      <c r="L206" s="76"/>
      <c r="M206" s="76">
        <v>271</v>
      </c>
      <c r="N206" s="76"/>
      <c r="O206" s="76">
        <v>6371</v>
      </c>
      <c r="P206" s="76"/>
      <c r="Q206" s="76">
        <v>3605</v>
      </c>
      <c r="R206" s="76"/>
      <c r="S206" s="76">
        <v>10450</v>
      </c>
      <c r="T206" s="76"/>
      <c r="U206" s="76">
        <v>0</v>
      </c>
      <c r="V206" s="76"/>
      <c r="W206" s="76">
        <v>0</v>
      </c>
      <c r="X206" s="76"/>
      <c r="Y206" s="76">
        <v>275</v>
      </c>
      <c r="Z206" s="76"/>
      <c r="AA206" s="76">
        <v>0</v>
      </c>
      <c r="AB206" s="76"/>
      <c r="AC206" s="76">
        <v>0</v>
      </c>
      <c r="AD206" s="76"/>
      <c r="AE206" s="76">
        <v>0</v>
      </c>
      <c r="AF206" s="76"/>
      <c r="AG206" s="76">
        <v>0</v>
      </c>
      <c r="AH206" s="76"/>
      <c r="AI206" s="76">
        <f t="shared" si="2"/>
        <v>410484</v>
      </c>
      <c r="AJ206" s="10"/>
      <c r="AK206" s="21"/>
      <c r="AL206" s="21"/>
      <c r="AM206" s="21"/>
    </row>
    <row r="207" spans="1:39" ht="12" customHeight="1" x14ac:dyDescent="0.2">
      <c r="A207" s="1" t="s">
        <v>21</v>
      </c>
      <c r="C207" s="1" t="s">
        <v>742</v>
      </c>
      <c r="E207" s="76">
        <v>42517.45</v>
      </c>
      <c r="F207" s="76"/>
      <c r="G207" s="76">
        <v>0</v>
      </c>
      <c r="H207" s="76"/>
      <c r="I207" s="76">
        <v>11386.22</v>
      </c>
      <c r="J207" s="76"/>
      <c r="K207" s="76">
        <v>0</v>
      </c>
      <c r="L207" s="76"/>
      <c r="M207" s="76">
        <v>3075</v>
      </c>
      <c r="N207" s="76"/>
      <c r="O207" s="76">
        <v>65899.13</v>
      </c>
      <c r="P207" s="76"/>
      <c r="Q207" s="76">
        <v>1464.23</v>
      </c>
      <c r="R207" s="76"/>
      <c r="S207" s="76">
        <v>1740.04</v>
      </c>
      <c r="T207" s="76"/>
      <c r="U207" s="76">
        <v>0</v>
      </c>
      <c r="V207" s="76"/>
      <c r="W207" s="76">
        <v>8327</v>
      </c>
      <c r="X207" s="76"/>
      <c r="Y207" s="76">
        <v>0</v>
      </c>
      <c r="Z207" s="76"/>
      <c r="AA207" s="76">
        <v>0</v>
      </c>
      <c r="AB207" s="76"/>
      <c r="AC207" s="76">
        <v>0</v>
      </c>
      <c r="AD207" s="76"/>
      <c r="AE207" s="76">
        <v>9520</v>
      </c>
      <c r="AF207" s="76"/>
      <c r="AG207" s="76">
        <v>0</v>
      </c>
      <c r="AH207"/>
      <c r="AI207" s="76">
        <f t="shared" ref="AI207:AI273" si="3">SUM(E207:AG207)</f>
        <v>143929.07</v>
      </c>
      <c r="AJ207" s="10"/>
      <c r="AK207" s="21"/>
      <c r="AL207" s="21"/>
      <c r="AM207" s="21"/>
    </row>
    <row r="208" spans="1:39" ht="12" hidden="1" customHeight="1" x14ac:dyDescent="0.2">
      <c r="A208" s="1" t="s">
        <v>297</v>
      </c>
      <c r="C208" s="1" t="s">
        <v>295</v>
      </c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/>
      <c r="AI208" s="76">
        <f t="shared" si="3"/>
        <v>0</v>
      </c>
      <c r="AJ208" s="10"/>
      <c r="AK208" s="21"/>
      <c r="AL208" s="21"/>
      <c r="AM208" s="21"/>
    </row>
    <row r="209" spans="1:39" ht="12" customHeight="1" x14ac:dyDescent="0.2">
      <c r="A209" s="15" t="s">
        <v>921</v>
      </c>
      <c r="B209" s="15"/>
      <c r="C209" s="1" t="s">
        <v>470</v>
      </c>
      <c r="E209" s="76">
        <v>3646.45</v>
      </c>
      <c r="F209" s="76"/>
      <c r="G209" s="76">
        <v>0</v>
      </c>
      <c r="H209" s="76"/>
      <c r="I209" s="76">
        <v>19363.240000000002</v>
      </c>
      <c r="J209" s="76"/>
      <c r="K209" s="76">
        <v>10065.040000000001</v>
      </c>
      <c r="L209" s="76"/>
      <c r="M209" s="76">
        <v>0</v>
      </c>
      <c r="N209" s="76"/>
      <c r="O209" s="76">
        <v>100</v>
      </c>
      <c r="P209" s="76"/>
      <c r="Q209" s="76">
        <v>62.6</v>
      </c>
      <c r="R209" s="76"/>
      <c r="S209" s="76">
        <v>0</v>
      </c>
      <c r="T209" s="76"/>
      <c r="U209" s="76">
        <v>0</v>
      </c>
      <c r="V209" s="76"/>
      <c r="W209" s="76">
        <v>0</v>
      </c>
      <c r="X209" s="76"/>
      <c r="Y209" s="76">
        <v>0</v>
      </c>
      <c r="Z209" s="76"/>
      <c r="AA209" s="76">
        <v>0</v>
      </c>
      <c r="AB209" s="76"/>
      <c r="AC209" s="76">
        <v>0</v>
      </c>
      <c r="AD209" s="76"/>
      <c r="AE209" s="76">
        <v>0</v>
      </c>
      <c r="AF209" s="76"/>
      <c r="AG209" s="76">
        <v>0</v>
      </c>
      <c r="AH209" s="81"/>
      <c r="AI209" s="76">
        <f t="shared" si="3"/>
        <v>33237.33</v>
      </c>
      <c r="AJ209" s="10"/>
      <c r="AK209" s="22"/>
      <c r="AL209" s="22"/>
      <c r="AM209" s="22"/>
    </row>
    <row r="210" spans="1:39" s="21" customFormat="1" ht="12" customHeight="1" x14ac:dyDescent="0.2">
      <c r="A210" s="1" t="s">
        <v>105</v>
      </c>
      <c r="B210" s="1"/>
      <c r="C210" s="1" t="s">
        <v>766</v>
      </c>
      <c r="D210" s="1"/>
      <c r="E210" s="76">
        <v>20943.68</v>
      </c>
      <c r="F210" s="76"/>
      <c r="G210" s="76">
        <v>0</v>
      </c>
      <c r="H210" s="76"/>
      <c r="I210" s="76">
        <v>7120.66</v>
      </c>
      <c r="J210" s="76"/>
      <c r="K210" s="76">
        <v>0</v>
      </c>
      <c r="L210" s="76"/>
      <c r="M210" s="76">
        <v>0</v>
      </c>
      <c r="N210" s="76"/>
      <c r="O210" s="76">
        <v>0</v>
      </c>
      <c r="P210" s="76"/>
      <c r="Q210" s="76">
        <v>393.39</v>
      </c>
      <c r="R210" s="76"/>
      <c r="S210" s="76">
        <v>3290.86</v>
      </c>
      <c r="T210" s="76"/>
      <c r="U210" s="76">
        <v>0</v>
      </c>
      <c r="V210" s="76"/>
      <c r="W210" s="76">
        <v>0</v>
      </c>
      <c r="X210" s="76"/>
      <c r="Y210" s="76">
        <v>0</v>
      </c>
      <c r="Z210" s="76"/>
      <c r="AA210" s="76">
        <v>0</v>
      </c>
      <c r="AB210" s="76"/>
      <c r="AC210" s="76">
        <v>0</v>
      </c>
      <c r="AD210" s="76"/>
      <c r="AE210" s="76">
        <v>0</v>
      </c>
      <c r="AF210" s="76"/>
      <c r="AG210" s="76">
        <v>0</v>
      </c>
      <c r="AH210"/>
      <c r="AI210" s="76">
        <f t="shared" si="3"/>
        <v>31748.59</v>
      </c>
      <c r="AJ210" s="10"/>
    </row>
    <row r="211" spans="1:39" ht="12" customHeight="1" x14ac:dyDescent="0.2">
      <c r="A211" s="1" t="s">
        <v>922</v>
      </c>
      <c r="C211" s="1" t="s">
        <v>741</v>
      </c>
      <c r="E211" s="76">
        <v>15736.39</v>
      </c>
      <c r="F211" s="76"/>
      <c r="G211" s="76">
        <v>0</v>
      </c>
      <c r="H211" s="76"/>
      <c r="I211" s="76">
        <v>53553.99</v>
      </c>
      <c r="J211" s="76"/>
      <c r="K211" s="76">
        <v>0</v>
      </c>
      <c r="L211" s="76"/>
      <c r="M211" s="76">
        <v>0</v>
      </c>
      <c r="N211" s="76"/>
      <c r="O211" s="76">
        <v>0</v>
      </c>
      <c r="P211" s="76"/>
      <c r="Q211" s="76">
        <v>10532.24</v>
      </c>
      <c r="R211" s="76"/>
      <c r="S211" s="76">
        <v>237286.62</v>
      </c>
      <c r="T211" s="76"/>
      <c r="U211" s="76">
        <v>0</v>
      </c>
      <c r="V211" s="76"/>
      <c r="W211" s="76">
        <v>0</v>
      </c>
      <c r="X211" s="76"/>
      <c r="Y211" s="76">
        <v>0</v>
      </c>
      <c r="Z211" s="76"/>
      <c r="AA211" s="76">
        <v>0</v>
      </c>
      <c r="AB211" s="76"/>
      <c r="AC211" s="76">
        <v>0</v>
      </c>
      <c r="AD211" s="76"/>
      <c r="AE211" s="76">
        <v>0</v>
      </c>
      <c r="AF211" s="76"/>
      <c r="AG211" s="76">
        <v>0</v>
      </c>
      <c r="AH211"/>
      <c r="AI211" s="76">
        <f t="shared" si="3"/>
        <v>317109.24</v>
      </c>
      <c r="AJ211" s="10"/>
      <c r="AK211" s="21"/>
      <c r="AL211" s="21"/>
      <c r="AM211" s="21"/>
    </row>
    <row r="212" spans="1:39" s="21" customFormat="1" ht="12" customHeight="1" x14ac:dyDescent="0.2">
      <c r="A212" s="1" t="s">
        <v>398</v>
      </c>
      <c r="B212" s="1"/>
      <c r="C212" s="1" t="s">
        <v>396</v>
      </c>
      <c r="D212" s="1"/>
      <c r="E212" s="76">
        <v>27995</v>
      </c>
      <c r="F212" s="76"/>
      <c r="G212" s="76">
        <v>275569</v>
      </c>
      <c r="H212" s="76"/>
      <c r="I212" s="76">
        <v>33397</v>
      </c>
      <c r="J212" s="76"/>
      <c r="K212" s="76">
        <v>0</v>
      </c>
      <c r="L212" s="76"/>
      <c r="M212" s="76">
        <v>67168</v>
      </c>
      <c r="N212" s="76"/>
      <c r="O212" s="76">
        <v>4884</v>
      </c>
      <c r="P212" s="76"/>
      <c r="Q212" s="76">
        <v>2475</v>
      </c>
      <c r="R212" s="76"/>
      <c r="S212" s="76">
        <v>100</v>
      </c>
      <c r="T212" s="76"/>
      <c r="U212" s="76">
        <v>0</v>
      </c>
      <c r="V212" s="76"/>
      <c r="W212" s="76">
        <v>0</v>
      </c>
      <c r="X212" s="76"/>
      <c r="Y212" s="76">
        <v>0</v>
      </c>
      <c r="Z212" s="76"/>
      <c r="AA212" s="76">
        <v>0</v>
      </c>
      <c r="AB212" s="76"/>
      <c r="AC212" s="76">
        <v>0</v>
      </c>
      <c r="AD212" s="76"/>
      <c r="AE212" s="76">
        <v>0</v>
      </c>
      <c r="AF212" s="76"/>
      <c r="AG212" s="76">
        <v>0</v>
      </c>
      <c r="AH212" s="76"/>
      <c r="AI212" s="76">
        <f t="shared" si="3"/>
        <v>411588</v>
      </c>
      <c r="AJ212" s="10"/>
      <c r="AK212" s="1"/>
      <c r="AL212" s="1"/>
      <c r="AM212" s="1"/>
    </row>
    <row r="213" spans="1:39" s="21" customFormat="1" ht="12" customHeight="1" x14ac:dyDescent="0.2">
      <c r="A213" s="1" t="s">
        <v>204</v>
      </c>
      <c r="B213" s="1"/>
      <c r="C213" s="1" t="s">
        <v>797</v>
      </c>
      <c r="D213" s="1"/>
      <c r="E213" s="76">
        <v>18230.05</v>
      </c>
      <c r="F213" s="76"/>
      <c r="G213" s="76">
        <v>76734.27</v>
      </c>
      <c r="H213" s="76"/>
      <c r="I213" s="76">
        <v>26809.34</v>
      </c>
      <c r="J213" s="76"/>
      <c r="K213" s="76">
        <v>0</v>
      </c>
      <c r="L213" s="76"/>
      <c r="M213" s="76">
        <v>0</v>
      </c>
      <c r="N213" s="76"/>
      <c r="O213" s="76">
        <v>460</v>
      </c>
      <c r="P213" s="76"/>
      <c r="Q213" s="76">
        <v>2196.29</v>
      </c>
      <c r="R213" s="76"/>
      <c r="S213" s="76">
        <v>24027.86</v>
      </c>
      <c r="T213" s="76"/>
      <c r="U213" s="76">
        <v>0</v>
      </c>
      <c r="V213" s="76"/>
      <c r="W213" s="76">
        <v>0</v>
      </c>
      <c r="X213" s="76"/>
      <c r="Y213" s="76">
        <v>0</v>
      </c>
      <c r="Z213" s="76"/>
      <c r="AA213" s="76">
        <v>0</v>
      </c>
      <c r="AB213" s="76"/>
      <c r="AC213" s="76">
        <v>0</v>
      </c>
      <c r="AD213" s="76"/>
      <c r="AE213" s="76">
        <v>0</v>
      </c>
      <c r="AF213" s="76"/>
      <c r="AG213" s="76">
        <v>0</v>
      </c>
      <c r="AH213"/>
      <c r="AI213" s="76">
        <f t="shared" si="3"/>
        <v>148457.81</v>
      </c>
      <c r="AJ213" s="10"/>
      <c r="AK213" s="1"/>
      <c r="AL213" s="1"/>
      <c r="AM213" s="1"/>
    </row>
    <row r="214" spans="1:39" s="21" customFormat="1" ht="12" customHeight="1" x14ac:dyDescent="0.2">
      <c r="A214" s="1" t="s">
        <v>222</v>
      </c>
      <c r="B214" s="1"/>
      <c r="C214" s="1" t="s">
        <v>803</v>
      </c>
      <c r="D214" s="1"/>
      <c r="E214" s="76">
        <v>118573.15</v>
      </c>
      <c r="F214" s="76"/>
      <c r="G214" s="76">
        <v>1094456.3799999999</v>
      </c>
      <c r="H214" s="76"/>
      <c r="I214" s="76">
        <v>72202.740000000005</v>
      </c>
      <c r="J214" s="76"/>
      <c r="K214" s="76">
        <v>17745.080000000002</v>
      </c>
      <c r="L214" s="76"/>
      <c r="M214" s="76">
        <v>476</v>
      </c>
      <c r="N214" s="76"/>
      <c r="O214" s="76">
        <v>750</v>
      </c>
      <c r="P214" s="76"/>
      <c r="Q214" s="76">
        <v>0</v>
      </c>
      <c r="R214" s="76"/>
      <c r="S214" s="76">
        <v>14433.69</v>
      </c>
      <c r="T214" s="76"/>
      <c r="U214" s="76">
        <v>0</v>
      </c>
      <c r="V214" s="76"/>
      <c r="W214" s="76">
        <v>0</v>
      </c>
      <c r="X214" s="76"/>
      <c r="Y214" s="76">
        <v>0</v>
      </c>
      <c r="Z214" s="76"/>
      <c r="AA214" s="76">
        <v>0</v>
      </c>
      <c r="AB214" s="76"/>
      <c r="AC214" s="76">
        <v>0</v>
      </c>
      <c r="AD214" s="76"/>
      <c r="AE214" s="76">
        <v>0</v>
      </c>
      <c r="AF214" s="76"/>
      <c r="AG214" s="76">
        <v>0</v>
      </c>
      <c r="AH214"/>
      <c r="AI214" s="76">
        <f t="shared" si="3"/>
        <v>1318637.0399999998</v>
      </c>
      <c r="AJ214" s="10"/>
      <c r="AK214" s="1"/>
      <c r="AL214" s="1"/>
      <c r="AM214" s="1"/>
    </row>
    <row r="215" spans="1:39" s="21" customFormat="1" ht="12" customHeight="1" x14ac:dyDescent="0.2">
      <c r="A215" s="1" t="s">
        <v>467</v>
      </c>
      <c r="B215" s="1"/>
      <c r="C215" s="1" t="s">
        <v>466</v>
      </c>
      <c r="D215" s="1"/>
      <c r="E215" s="76">
        <v>129185</v>
      </c>
      <c r="F215" s="76"/>
      <c r="G215" s="76">
        <v>796931</v>
      </c>
      <c r="H215" s="76"/>
      <c r="I215" s="76">
        <v>134020</v>
      </c>
      <c r="J215" s="76"/>
      <c r="K215" s="76">
        <v>36864</v>
      </c>
      <c r="L215" s="76"/>
      <c r="M215" s="76">
        <v>52324</v>
      </c>
      <c r="N215" s="76"/>
      <c r="O215" s="76">
        <v>1547</v>
      </c>
      <c r="P215" s="76"/>
      <c r="Q215" s="76">
        <v>7323</v>
      </c>
      <c r="R215" s="76"/>
      <c r="S215" s="76">
        <v>50490</v>
      </c>
      <c r="T215" s="76"/>
      <c r="U215" s="76">
        <v>0</v>
      </c>
      <c r="V215" s="76"/>
      <c r="W215" s="76">
        <v>0</v>
      </c>
      <c r="X215" s="76"/>
      <c r="Y215" s="76">
        <v>0</v>
      </c>
      <c r="Z215" s="76"/>
      <c r="AA215" s="76">
        <v>0</v>
      </c>
      <c r="AB215" s="76"/>
      <c r="AC215" s="76">
        <v>0</v>
      </c>
      <c r="AD215" s="76"/>
      <c r="AE215" s="76">
        <v>0</v>
      </c>
      <c r="AF215" s="76"/>
      <c r="AG215" s="76">
        <v>0</v>
      </c>
      <c r="AH215" s="76"/>
      <c r="AI215" s="76">
        <f t="shared" si="3"/>
        <v>1208684</v>
      </c>
      <c r="AJ215" s="10"/>
      <c r="AK215" s="1"/>
      <c r="AL215" s="1"/>
      <c r="AM215" s="1"/>
    </row>
    <row r="216" spans="1:39" ht="12" customHeight="1" x14ac:dyDescent="0.2">
      <c r="A216" s="1" t="s">
        <v>923</v>
      </c>
      <c r="C216" s="1" t="s">
        <v>703</v>
      </c>
      <c r="E216" s="76">
        <v>71018.929999999993</v>
      </c>
      <c r="F216" s="76"/>
      <c r="G216" s="76">
        <v>0</v>
      </c>
      <c r="H216" s="76"/>
      <c r="I216" s="76">
        <v>92171.01</v>
      </c>
      <c r="J216" s="76"/>
      <c r="K216" s="76">
        <v>0</v>
      </c>
      <c r="L216" s="76"/>
      <c r="M216" s="76">
        <v>13120</v>
      </c>
      <c r="N216" s="76"/>
      <c r="O216" s="76">
        <v>95954.18</v>
      </c>
      <c r="P216" s="76"/>
      <c r="Q216" s="76">
        <v>6.02</v>
      </c>
      <c r="R216" s="76"/>
      <c r="S216" s="76">
        <v>12610.92</v>
      </c>
      <c r="T216" s="76"/>
      <c r="U216" s="76">
        <v>0</v>
      </c>
      <c r="V216" s="76"/>
      <c r="W216" s="76">
        <v>0</v>
      </c>
      <c r="X216" s="76"/>
      <c r="Y216" s="76">
        <v>0</v>
      </c>
      <c r="Z216" s="76"/>
      <c r="AA216" s="76">
        <v>0</v>
      </c>
      <c r="AB216" s="76"/>
      <c r="AC216" s="76">
        <v>0</v>
      </c>
      <c r="AD216" s="76"/>
      <c r="AE216" s="76">
        <v>0</v>
      </c>
      <c r="AF216" s="76"/>
      <c r="AG216" s="76">
        <v>0</v>
      </c>
      <c r="AH216"/>
      <c r="AI216" s="76">
        <f t="shared" si="3"/>
        <v>284881.06</v>
      </c>
      <c r="AJ216" s="10"/>
    </row>
    <row r="217" spans="1:39" ht="12" customHeight="1" x14ac:dyDescent="0.2">
      <c r="A217" s="1" t="s">
        <v>212</v>
      </c>
      <c r="C217" s="1" t="s">
        <v>799</v>
      </c>
      <c r="E217" s="76">
        <v>49069.47</v>
      </c>
      <c r="F217" s="76"/>
      <c r="G217" s="76">
        <v>0</v>
      </c>
      <c r="H217" s="76"/>
      <c r="I217" s="76">
        <v>45126.55</v>
      </c>
      <c r="J217" s="76"/>
      <c r="K217" s="76">
        <v>0</v>
      </c>
      <c r="L217" s="76"/>
      <c r="M217" s="76">
        <v>0</v>
      </c>
      <c r="N217" s="76"/>
      <c r="O217" s="76">
        <v>23568.81</v>
      </c>
      <c r="P217" s="76"/>
      <c r="Q217" s="76">
        <v>2827.18</v>
      </c>
      <c r="R217" s="76"/>
      <c r="S217" s="76">
        <v>0</v>
      </c>
      <c r="T217" s="76"/>
      <c r="U217" s="76">
        <v>0</v>
      </c>
      <c r="V217" s="76"/>
      <c r="W217" s="76">
        <v>0</v>
      </c>
      <c r="X217" s="76"/>
      <c r="Y217" s="76">
        <v>0</v>
      </c>
      <c r="Z217" s="76"/>
      <c r="AA217" s="76">
        <v>0</v>
      </c>
      <c r="AB217" s="76"/>
      <c r="AC217" s="76">
        <v>0</v>
      </c>
      <c r="AD217" s="76"/>
      <c r="AE217" s="76">
        <v>9891.34</v>
      </c>
      <c r="AF217" s="76"/>
      <c r="AG217" s="76">
        <v>0</v>
      </c>
      <c r="AH217"/>
      <c r="AI217" s="76">
        <f t="shared" si="3"/>
        <v>130483.34999999999</v>
      </c>
      <c r="AJ217" s="10"/>
    </row>
    <row r="218" spans="1:39" s="21" customFormat="1" ht="12" customHeight="1" x14ac:dyDescent="0.2">
      <c r="A218" s="1" t="s">
        <v>175</v>
      </c>
      <c r="B218" s="1"/>
      <c r="C218" s="1" t="s">
        <v>789</v>
      </c>
      <c r="D218" s="1"/>
      <c r="E218" s="76">
        <v>36412.79</v>
      </c>
      <c r="F218" s="76"/>
      <c r="G218" s="76">
        <v>123383.32</v>
      </c>
      <c r="H218" s="76"/>
      <c r="I218" s="76">
        <v>31822.74</v>
      </c>
      <c r="J218" s="76"/>
      <c r="K218" s="76">
        <v>0</v>
      </c>
      <c r="L218" s="76"/>
      <c r="M218" s="76">
        <v>6599.06</v>
      </c>
      <c r="N218" s="76"/>
      <c r="O218" s="76">
        <v>250</v>
      </c>
      <c r="P218" s="76"/>
      <c r="Q218" s="76">
        <v>246.59</v>
      </c>
      <c r="R218" s="76"/>
      <c r="S218" s="76">
        <v>10153.36</v>
      </c>
      <c r="T218" s="76"/>
      <c r="U218" s="76">
        <v>0</v>
      </c>
      <c r="V218" s="76"/>
      <c r="W218" s="76">
        <v>0</v>
      </c>
      <c r="X218" s="76"/>
      <c r="Y218" s="76">
        <v>2</v>
      </c>
      <c r="Z218" s="76"/>
      <c r="AA218" s="76">
        <v>26042.78</v>
      </c>
      <c r="AB218" s="76"/>
      <c r="AC218" s="76">
        <v>0</v>
      </c>
      <c r="AD218" s="76"/>
      <c r="AE218" s="76">
        <v>535.29999999999995</v>
      </c>
      <c r="AF218" s="76"/>
      <c r="AG218" s="76">
        <v>0</v>
      </c>
      <c r="AH218"/>
      <c r="AI218" s="76">
        <f t="shared" si="3"/>
        <v>235447.93999999997</v>
      </c>
      <c r="AJ218" s="10"/>
      <c r="AK218" s="1"/>
      <c r="AL218" s="1"/>
      <c r="AM218" s="1"/>
    </row>
    <row r="219" spans="1:39" ht="12" customHeight="1" x14ac:dyDescent="0.2">
      <c r="A219" s="1" t="s">
        <v>593</v>
      </c>
      <c r="C219" s="1" t="s">
        <v>588</v>
      </c>
      <c r="E219" s="76">
        <v>19054</v>
      </c>
      <c r="F219" s="76"/>
      <c r="G219" s="76">
        <v>65213</v>
      </c>
      <c r="H219" s="76"/>
      <c r="I219" s="76">
        <v>10307</v>
      </c>
      <c r="J219" s="76"/>
      <c r="K219" s="76">
        <v>0</v>
      </c>
      <c r="L219" s="76"/>
      <c r="M219" s="76">
        <v>0</v>
      </c>
      <c r="N219" s="76"/>
      <c r="O219" s="76">
        <v>0</v>
      </c>
      <c r="P219" s="76"/>
      <c r="Q219" s="76">
        <v>531</v>
      </c>
      <c r="R219" s="76"/>
      <c r="S219" s="76">
        <v>11389</v>
      </c>
      <c r="T219" s="76"/>
      <c r="U219" s="76">
        <v>0</v>
      </c>
      <c r="V219" s="76"/>
      <c r="W219" s="76">
        <v>0</v>
      </c>
      <c r="X219" s="76"/>
      <c r="Y219" s="76">
        <v>0</v>
      </c>
      <c r="Z219" s="76"/>
      <c r="AA219" s="76">
        <v>0</v>
      </c>
      <c r="AB219" s="76"/>
      <c r="AC219" s="76">
        <v>0</v>
      </c>
      <c r="AD219" s="76"/>
      <c r="AE219" s="76">
        <v>0</v>
      </c>
      <c r="AF219" s="76"/>
      <c r="AG219" s="76">
        <v>0</v>
      </c>
      <c r="AH219" s="76"/>
      <c r="AI219" s="76">
        <f t="shared" si="3"/>
        <v>106494</v>
      </c>
      <c r="AJ219" s="10"/>
    </row>
    <row r="220" spans="1:39" s="15" customFormat="1" ht="12" customHeight="1" x14ac:dyDescent="0.2">
      <c r="A220" s="1" t="s">
        <v>428</v>
      </c>
      <c r="B220" s="1"/>
      <c r="C220" s="1" t="s">
        <v>427</v>
      </c>
      <c r="D220" s="1"/>
      <c r="E220" s="76">
        <v>146342.22</v>
      </c>
      <c r="F220" s="76"/>
      <c r="G220" s="76">
        <v>441633.45</v>
      </c>
      <c r="H220" s="76"/>
      <c r="I220" s="76">
        <v>54635.85</v>
      </c>
      <c r="J220" s="76"/>
      <c r="K220" s="76">
        <v>1010.04</v>
      </c>
      <c r="L220" s="76"/>
      <c r="M220" s="76">
        <v>0</v>
      </c>
      <c r="N220" s="76"/>
      <c r="O220" s="76">
        <v>32245.33</v>
      </c>
      <c r="P220" s="76"/>
      <c r="Q220" s="76">
        <v>562.52</v>
      </c>
      <c r="R220" s="76"/>
      <c r="S220" s="76">
        <v>6607.61</v>
      </c>
      <c r="T220" s="76"/>
      <c r="U220" s="76">
        <v>0</v>
      </c>
      <c r="V220" s="76"/>
      <c r="W220" s="76">
        <v>0</v>
      </c>
      <c r="X220" s="76"/>
      <c r="Y220" s="76">
        <v>0</v>
      </c>
      <c r="Z220" s="76"/>
      <c r="AA220" s="76">
        <v>0</v>
      </c>
      <c r="AB220" s="76"/>
      <c r="AC220" s="76">
        <v>0</v>
      </c>
      <c r="AD220" s="76"/>
      <c r="AE220" s="76">
        <v>0</v>
      </c>
      <c r="AF220" s="76"/>
      <c r="AG220" s="76">
        <f>10679+4660.22</f>
        <v>15339.220000000001</v>
      </c>
      <c r="AH220"/>
      <c r="AI220" s="76">
        <f t="shared" si="3"/>
        <v>698376.24</v>
      </c>
      <c r="AJ220" s="10"/>
      <c r="AK220" s="21"/>
      <c r="AL220" s="21"/>
      <c r="AM220" s="21"/>
    </row>
    <row r="221" spans="1:39" s="15" customFormat="1" ht="12" hidden="1" customHeight="1" x14ac:dyDescent="0.2">
      <c r="A221" s="1" t="s">
        <v>405</v>
      </c>
      <c r="B221" s="1"/>
      <c r="C221" s="1" t="s">
        <v>403</v>
      </c>
      <c r="D221" s="1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/>
      <c r="AI221" s="76">
        <f t="shared" si="3"/>
        <v>0</v>
      </c>
      <c r="AJ221" s="10"/>
      <c r="AK221" s="21"/>
      <c r="AL221" s="21"/>
      <c r="AM221" s="21"/>
    </row>
    <row r="222" spans="1:39" ht="12" customHeight="1" x14ac:dyDescent="0.2">
      <c r="A222" s="1" t="s">
        <v>358</v>
      </c>
      <c r="C222" s="1" t="s">
        <v>243</v>
      </c>
      <c r="E222" s="76">
        <v>9344.74</v>
      </c>
      <c r="F222" s="76"/>
      <c r="G222" s="76">
        <v>0</v>
      </c>
      <c r="H222" s="76"/>
      <c r="I222" s="76">
        <v>14528.44</v>
      </c>
      <c r="J222" s="76"/>
      <c r="K222" s="76">
        <v>0</v>
      </c>
      <c r="L222" s="76"/>
      <c r="M222" s="76">
        <v>0</v>
      </c>
      <c r="N222" s="76"/>
      <c r="O222" s="76">
        <v>2244.34</v>
      </c>
      <c r="P222" s="76"/>
      <c r="Q222" s="76">
        <v>10.35</v>
      </c>
      <c r="R222" s="76"/>
      <c r="S222" s="76">
        <v>110.72</v>
      </c>
      <c r="T222" s="76"/>
      <c r="U222" s="76">
        <v>0</v>
      </c>
      <c r="V222" s="76"/>
      <c r="W222" s="76">
        <v>0</v>
      </c>
      <c r="X222" s="76"/>
      <c r="Y222" s="76">
        <v>0</v>
      </c>
      <c r="Z222" s="76"/>
      <c r="AA222" s="76">
        <v>0</v>
      </c>
      <c r="AB222" s="76"/>
      <c r="AC222" s="76">
        <v>0</v>
      </c>
      <c r="AD222" s="76"/>
      <c r="AE222" s="76">
        <v>0</v>
      </c>
      <c r="AF222" s="76"/>
      <c r="AG222" s="76">
        <v>0</v>
      </c>
      <c r="AH222"/>
      <c r="AI222" s="76">
        <f t="shared" si="3"/>
        <v>26238.59</v>
      </c>
      <c r="AJ222" s="10"/>
    </row>
    <row r="223" spans="1:39" s="36" customFormat="1" ht="12" customHeight="1" x14ac:dyDescent="0.2">
      <c r="A223" s="1" t="s">
        <v>485</v>
      </c>
      <c r="B223" s="1"/>
      <c r="C223" s="1" t="s">
        <v>484</v>
      </c>
      <c r="D223" s="1"/>
      <c r="E223" s="76">
        <v>2102.9499999999998</v>
      </c>
      <c r="F223" s="76"/>
      <c r="G223" s="76">
        <v>0</v>
      </c>
      <c r="H223" s="76"/>
      <c r="I223" s="76">
        <v>6889.22</v>
      </c>
      <c r="J223" s="76"/>
      <c r="K223" s="76">
        <v>0</v>
      </c>
      <c r="L223" s="76"/>
      <c r="M223" s="76">
        <v>0</v>
      </c>
      <c r="N223" s="76"/>
      <c r="O223" s="76">
        <v>0</v>
      </c>
      <c r="P223" s="76"/>
      <c r="Q223" s="76">
        <v>3.75</v>
      </c>
      <c r="R223" s="76"/>
      <c r="S223" s="76">
        <v>765.89</v>
      </c>
      <c r="T223" s="76"/>
      <c r="U223" s="76">
        <v>0</v>
      </c>
      <c r="V223" s="76"/>
      <c r="W223" s="76">
        <v>0</v>
      </c>
      <c r="X223" s="76"/>
      <c r="Y223" s="76">
        <v>0</v>
      </c>
      <c r="Z223" s="76"/>
      <c r="AA223" s="76">
        <v>0</v>
      </c>
      <c r="AB223" s="76"/>
      <c r="AC223" s="76">
        <v>0</v>
      </c>
      <c r="AD223" s="76"/>
      <c r="AE223" s="76">
        <v>0</v>
      </c>
      <c r="AF223" s="76"/>
      <c r="AG223" s="76">
        <v>0</v>
      </c>
      <c r="AH223" s="81"/>
      <c r="AI223" s="76">
        <f t="shared" si="3"/>
        <v>9761.81</v>
      </c>
      <c r="AJ223" s="10"/>
      <c r="AK223" s="21"/>
      <c r="AL223" s="21"/>
      <c r="AM223" s="21"/>
    </row>
    <row r="224" spans="1:39" ht="12" customHeight="1" x14ac:dyDescent="0.2">
      <c r="A224" s="1" t="s">
        <v>57</v>
      </c>
      <c r="C224" s="1" t="s">
        <v>754</v>
      </c>
      <c r="E224" s="76">
        <v>60240.92</v>
      </c>
      <c r="F224" s="76"/>
      <c r="G224" s="76">
        <v>271362.37</v>
      </c>
      <c r="H224" s="76"/>
      <c r="I224" s="76">
        <v>29555.01</v>
      </c>
      <c r="J224" s="76"/>
      <c r="K224" s="76">
        <v>0</v>
      </c>
      <c r="L224" s="76"/>
      <c r="M224" s="76">
        <v>0</v>
      </c>
      <c r="N224" s="76"/>
      <c r="O224" s="76">
        <v>4425</v>
      </c>
      <c r="P224" s="76"/>
      <c r="Q224" s="76">
        <v>1168.6099999999999</v>
      </c>
      <c r="R224" s="76"/>
      <c r="S224" s="76">
        <v>35672.410000000003</v>
      </c>
      <c r="T224" s="76"/>
      <c r="U224" s="76">
        <v>0</v>
      </c>
      <c r="V224" s="76"/>
      <c r="W224" s="76">
        <v>0</v>
      </c>
      <c r="X224" s="76"/>
      <c r="Y224" s="76">
        <v>0</v>
      </c>
      <c r="Z224" s="76"/>
      <c r="AA224" s="76">
        <v>0</v>
      </c>
      <c r="AB224" s="76"/>
      <c r="AC224" s="76">
        <v>0</v>
      </c>
      <c r="AD224" s="76"/>
      <c r="AE224" s="76">
        <v>5569.15</v>
      </c>
      <c r="AF224" s="76"/>
      <c r="AG224" s="76">
        <v>0</v>
      </c>
      <c r="AH224"/>
      <c r="AI224" s="76">
        <f t="shared" si="3"/>
        <v>407993.47</v>
      </c>
      <c r="AJ224" s="10"/>
      <c r="AK224" s="21"/>
      <c r="AL224" s="21"/>
      <c r="AM224" s="21"/>
    </row>
    <row r="225" spans="1:39" ht="12" customHeight="1" x14ac:dyDescent="0.2">
      <c r="A225" s="1" t="s">
        <v>363</v>
      </c>
      <c r="C225" s="1" t="s">
        <v>364</v>
      </c>
      <c r="E225" s="76">
        <v>222943</v>
      </c>
      <c r="F225" s="76"/>
      <c r="G225" s="76">
        <v>1680028</v>
      </c>
      <c r="H225" s="76"/>
      <c r="I225" s="76">
        <v>217518</v>
      </c>
      <c r="J225" s="76"/>
      <c r="K225" s="76">
        <v>0</v>
      </c>
      <c r="L225" s="76"/>
      <c r="M225" s="76">
        <v>366916</v>
      </c>
      <c r="N225" s="76"/>
      <c r="O225" s="76">
        <f>437235+60713</f>
        <v>497948</v>
      </c>
      <c r="P225" s="76"/>
      <c r="Q225" s="76">
        <v>74413</v>
      </c>
      <c r="R225" s="76"/>
      <c r="S225" s="76">
        <f>21667+2450</f>
        <v>24117</v>
      </c>
      <c r="T225" s="76"/>
      <c r="U225" s="76">
        <v>0</v>
      </c>
      <c r="V225" s="76"/>
      <c r="W225" s="76">
        <v>0</v>
      </c>
      <c r="X225" s="76"/>
      <c r="Y225" s="76">
        <v>160000</v>
      </c>
      <c r="Z225" s="76"/>
      <c r="AA225" s="76">
        <v>852</v>
      </c>
      <c r="AB225" s="76"/>
      <c r="AC225" s="76">
        <v>448661</v>
      </c>
      <c r="AD225" s="76"/>
      <c r="AE225" s="76">
        <v>0</v>
      </c>
      <c r="AF225" s="76"/>
      <c r="AG225" s="76">
        <v>0</v>
      </c>
      <c r="AH225" s="76"/>
      <c r="AI225" s="76">
        <f t="shared" si="3"/>
        <v>3693396</v>
      </c>
      <c r="AJ225" s="10"/>
      <c r="AK225" s="21"/>
      <c r="AL225" s="21"/>
      <c r="AM225" s="21"/>
    </row>
    <row r="226" spans="1:39" ht="12" customHeight="1" x14ac:dyDescent="0.2">
      <c r="A226" s="1" t="s">
        <v>887</v>
      </c>
      <c r="C226" s="1" t="s">
        <v>771</v>
      </c>
      <c r="E226" s="76">
        <v>0</v>
      </c>
      <c r="F226" s="76"/>
      <c r="G226" s="76">
        <v>675495</v>
      </c>
      <c r="H226" s="76"/>
      <c r="I226" s="76">
        <v>46074</v>
      </c>
      <c r="J226" s="76"/>
      <c r="K226" s="76">
        <v>0</v>
      </c>
      <c r="L226" s="76"/>
      <c r="M226" s="76">
        <v>7099</v>
      </c>
      <c r="N226" s="76"/>
      <c r="O226" s="76">
        <v>15135</v>
      </c>
      <c r="P226" s="76"/>
      <c r="Q226" s="76">
        <v>1726</v>
      </c>
      <c r="R226" s="76"/>
      <c r="S226" s="76">
        <v>20804</v>
      </c>
      <c r="T226" s="76"/>
      <c r="U226" s="76">
        <v>0</v>
      </c>
      <c r="V226" s="76"/>
      <c r="W226" s="76">
        <v>0</v>
      </c>
      <c r="X226" s="76"/>
      <c r="Y226" s="76">
        <v>0</v>
      </c>
      <c r="Z226" s="76"/>
      <c r="AA226" s="76">
        <v>0</v>
      </c>
      <c r="AB226" s="76"/>
      <c r="AC226" s="76">
        <v>0</v>
      </c>
      <c r="AD226" s="76"/>
      <c r="AE226" s="76">
        <v>5017</v>
      </c>
      <c r="AF226" s="76"/>
      <c r="AG226" s="76">
        <v>0</v>
      </c>
      <c r="AH226" s="76"/>
      <c r="AI226" s="76">
        <f t="shared" si="3"/>
        <v>771350</v>
      </c>
      <c r="AJ226" s="10"/>
    </row>
    <row r="227" spans="1:39" ht="12" hidden="1" customHeight="1" x14ac:dyDescent="0.2">
      <c r="A227" s="1" t="s">
        <v>122</v>
      </c>
      <c r="C227" s="1" t="s">
        <v>427</v>
      </c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>
        <f t="shared" si="3"/>
        <v>0</v>
      </c>
      <c r="AJ227" s="10"/>
    </row>
    <row r="228" spans="1:39" ht="12" customHeight="1" x14ac:dyDescent="0.2">
      <c r="A228" s="36" t="s">
        <v>507</v>
      </c>
      <c r="B228" s="36"/>
      <c r="C228" s="36" t="s">
        <v>259</v>
      </c>
      <c r="D228" s="36"/>
      <c r="E228" s="76">
        <v>135414</v>
      </c>
      <c r="F228" s="76"/>
      <c r="G228" s="76">
        <v>877708</v>
      </c>
      <c r="H228" s="76"/>
      <c r="I228" s="76">
        <v>195640</v>
      </c>
      <c r="J228" s="76"/>
      <c r="K228" s="76">
        <v>0</v>
      </c>
      <c r="L228" s="76"/>
      <c r="M228" s="76">
        <v>51078</v>
      </c>
      <c r="N228" s="76"/>
      <c r="O228" s="76">
        <v>10248</v>
      </c>
      <c r="P228" s="76"/>
      <c r="Q228" s="76">
        <v>7465</v>
      </c>
      <c r="R228" s="76"/>
      <c r="S228" s="76">
        <v>84464</v>
      </c>
      <c r="T228" s="76"/>
      <c r="U228" s="76">
        <v>0</v>
      </c>
      <c r="V228" s="76"/>
      <c r="W228" s="76">
        <v>0</v>
      </c>
      <c r="X228" s="76"/>
      <c r="Y228" s="76">
        <v>0</v>
      </c>
      <c r="Z228" s="76"/>
      <c r="AA228" s="76">
        <v>0</v>
      </c>
      <c r="AB228" s="76"/>
      <c r="AC228" s="76">
        <v>0</v>
      </c>
      <c r="AD228" s="76"/>
      <c r="AE228" s="76">
        <v>0</v>
      </c>
      <c r="AF228" s="76"/>
      <c r="AG228" s="76">
        <v>0</v>
      </c>
      <c r="AH228" s="76"/>
      <c r="AI228" s="76">
        <f t="shared" si="3"/>
        <v>1362017</v>
      </c>
      <c r="AJ228" s="36"/>
      <c r="AK228" s="36"/>
      <c r="AL228" s="36"/>
      <c r="AM228" s="36"/>
    </row>
    <row r="229" spans="1:39" ht="12" customHeight="1" x14ac:dyDescent="0.2">
      <c r="A229" s="1" t="s">
        <v>320</v>
      </c>
      <c r="C229" s="1" t="s">
        <v>316</v>
      </c>
      <c r="E229" s="76">
        <f>2046817</f>
        <v>2046817</v>
      </c>
      <c r="F229" s="76"/>
      <c r="G229" s="76">
        <v>1650091</v>
      </c>
      <c r="H229" s="76"/>
      <c r="I229" s="76">
        <v>726434</v>
      </c>
      <c r="J229" s="76"/>
      <c r="K229" s="76">
        <v>23965</v>
      </c>
      <c r="L229" s="76"/>
      <c r="M229" s="76">
        <v>387821</v>
      </c>
      <c r="N229" s="76"/>
      <c r="O229" s="76">
        <v>75942</v>
      </c>
      <c r="P229" s="76"/>
      <c r="Q229" s="76">
        <v>3676</v>
      </c>
      <c r="R229" s="76"/>
      <c r="S229" s="76">
        <v>0</v>
      </c>
      <c r="T229" s="76"/>
      <c r="U229" s="76">
        <v>0</v>
      </c>
      <c r="V229" s="76"/>
      <c r="W229" s="76">
        <v>0</v>
      </c>
      <c r="X229" s="76"/>
      <c r="Y229" s="76">
        <v>0</v>
      </c>
      <c r="Z229" s="76"/>
      <c r="AA229" s="76">
        <v>0</v>
      </c>
      <c r="AB229" s="76"/>
      <c r="AC229" s="76">
        <v>0</v>
      </c>
      <c r="AD229" s="76"/>
      <c r="AE229" s="76">
        <v>0</v>
      </c>
      <c r="AF229" s="76"/>
      <c r="AG229" s="76">
        <v>0</v>
      </c>
      <c r="AH229" s="76"/>
      <c r="AI229" s="76">
        <f t="shared" si="3"/>
        <v>4914746</v>
      </c>
      <c r="AJ229" s="10"/>
      <c r="AK229" s="22"/>
      <c r="AL229" s="22"/>
      <c r="AM229" s="22"/>
    </row>
    <row r="230" spans="1:39" ht="12" customHeight="1" x14ac:dyDescent="0.2">
      <c r="A230" s="1" t="s">
        <v>269</v>
      </c>
      <c r="C230" s="1" t="s">
        <v>738</v>
      </c>
      <c r="E230" s="76">
        <v>150599.87</v>
      </c>
      <c r="F230" s="76"/>
      <c r="G230" s="76">
        <v>161945.47</v>
      </c>
      <c r="H230" s="76"/>
      <c r="I230" s="76">
        <v>53262.9</v>
      </c>
      <c r="J230" s="76"/>
      <c r="K230" s="76">
        <v>200</v>
      </c>
      <c r="L230" s="76"/>
      <c r="M230" s="76">
        <v>34010.21</v>
      </c>
      <c r="N230" s="76"/>
      <c r="O230" s="76">
        <v>45878</v>
      </c>
      <c r="P230" s="76"/>
      <c r="Q230" s="76">
        <v>3444.22</v>
      </c>
      <c r="R230" s="76"/>
      <c r="S230" s="76">
        <v>33065.050000000003</v>
      </c>
      <c r="T230" s="76"/>
      <c r="U230" s="76">
        <v>0</v>
      </c>
      <c r="V230" s="76"/>
      <c r="W230" s="76">
        <v>0</v>
      </c>
      <c r="X230" s="76"/>
      <c r="Y230" s="76">
        <v>0</v>
      </c>
      <c r="Z230" s="76"/>
      <c r="AA230" s="76">
        <v>0</v>
      </c>
      <c r="AB230" s="76"/>
      <c r="AC230" s="76">
        <v>29000</v>
      </c>
      <c r="AD230" s="76"/>
      <c r="AE230" s="76">
        <v>0</v>
      </c>
      <c r="AF230" s="76"/>
      <c r="AG230" s="76">
        <v>0</v>
      </c>
      <c r="AH230" s="81"/>
      <c r="AI230" s="76">
        <f t="shared" si="3"/>
        <v>511405.72</v>
      </c>
      <c r="AJ230" s="10"/>
      <c r="AK230" s="7"/>
      <c r="AL230" s="7"/>
      <c r="AM230" s="7"/>
    </row>
    <row r="231" spans="1:39" ht="12" customHeight="1" x14ac:dyDescent="0.2">
      <c r="A231" s="1" t="s">
        <v>493</v>
      </c>
      <c r="C231" s="1" t="s">
        <v>207</v>
      </c>
      <c r="E231" s="76">
        <v>79005</v>
      </c>
      <c r="F231" s="76"/>
      <c r="G231" s="76">
        <v>0</v>
      </c>
      <c r="H231" s="76"/>
      <c r="I231" s="76">
        <v>157330</v>
      </c>
      <c r="J231" s="76"/>
      <c r="K231" s="76">
        <v>0</v>
      </c>
      <c r="L231" s="76"/>
      <c r="M231" s="76">
        <v>0</v>
      </c>
      <c r="N231" s="76"/>
      <c r="O231" s="76">
        <v>11868</v>
      </c>
      <c r="P231" s="76"/>
      <c r="Q231" s="76">
        <v>8923</v>
      </c>
      <c r="R231" s="76"/>
      <c r="S231" s="76">
        <v>3670</v>
      </c>
      <c r="T231" s="76"/>
      <c r="U231" s="76">
        <v>0</v>
      </c>
      <c r="V231" s="76"/>
      <c r="W231" s="76">
        <v>0</v>
      </c>
      <c r="X231" s="76"/>
      <c r="Y231" s="76">
        <v>0</v>
      </c>
      <c r="Z231" s="76"/>
      <c r="AA231" s="76">
        <v>508613</v>
      </c>
      <c r="AB231" s="76"/>
      <c r="AC231" s="76">
        <v>0</v>
      </c>
      <c r="AD231" s="76"/>
      <c r="AE231" s="76">
        <v>12960</v>
      </c>
      <c r="AF231" s="76"/>
      <c r="AG231" s="76">
        <v>0</v>
      </c>
      <c r="AH231" s="76"/>
      <c r="AI231" s="76">
        <f t="shared" si="3"/>
        <v>782369</v>
      </c>
      <c r="AJ231" s="10"/>
    </row>
    <row r="232" spans="1:39" ht="12" customHeight="1" x14ac:dyDescent="0.2">
      <c r="A232" s="1" t="s">
        <v>22</v>
      </c>
      <c r="C232" s="1" t="s">
        <v>742</v>
      </c>
      <c r="E232" s="76">
        <v>47420.69</v>
      </c>
      <c r="F232" s="76"/>
      <c r="G232" s="76">
        <v>235087.03</v>
      </c>
      <c r="H232" s="76"/>
      <c r="I232" s="76">
        <v>143091.73000000001</v>
      </c>
      <c r="J232" s="76"/>
      <c r="K232" s="76">
        <v>212941.82</v>
      </c>
      <c r="L232" s="76"/>
      <c r="M232" s="76">
        <v>11400</v>
      </c>
      <c r="N232" s="76"/>
      <c r="O232" s="76">
        <v>91082.49</v>
      </c>
      <c r="P232" s="76"/>
      <c r="Q232" s="76">
        <v>11301.45</v>
      </c>
      <c r="R232" s="76"/>
      <c r="S232" s="76">
        <v>20679.28</v>
      </c>
      <c r="T232" s="76"/>
      <c r="U232" s="76">
        <v>0</v>
      </c>
      <c r="V232" s="76"/>
      <c r="W232" s="76">
        <v>0</v>
      </c>
      <c r="X232" s="76"/>
      <c r="Y232" s="76">
        <v>648</v>
      </c>
      <c r="Z232" s="76"/>
      <c r="AA232" s="76">
        <v>0</v>
      </c>
      <c r="AB232" s="76"/>
      <c r="AC232" s="76">
        <v>0</v>
      </c>
      <c r="AD232" s="76"/>
      <c r="AE232" s="76">
        <v>0</v>
      </c>
      <c r="AF232" s="76"/>
      <c r="AG232" s="76">
        <v>0</v>
      </c>
      <c r="AH232"/>
      <c r="AI232" s="76">
        <f t="shared" si="3"/>
        <v>773652.49</v>
      </c>
      <c r="AJ232" s="10"/>
      <c r="AK232" s="22"/>
      <c r="AL232" s="22"/>
      <c r="AM232" s="22"/>
    </row>
    <row r="233" spans="1:39" ht="12" hidden="1" customHeight="1" x14ac:dyDescent="0.2">
      <c r="A233" s="1" t="s">
        <v>480</v>
      </c>
      <c r="C233" s="1" t="s">
        <v>786</v>
      </c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/>
      <c r="AI233" s="76">
        <f t="shared" si="3"/>
        <v>0</v>
      </c>
      <c r="AJ233" s="10"/>
      <c r="AK233" s="22"/>
      <c r="AL233" s="22"/>
      <c r="AM233" s="22"/>
    </row>
    <row r="234" spans="1:39" ht="12" customHeight="1" x14ac:dyDescent="0.2">
      <c r="A234" s="1" t="s">
        <v>52</v>
      </c>
      <c r="C234" s="1" t="s">
        <v>752</v>
      </c>
      <c r="E234" s="76">
        <v>18085.78</v>
      </c>
      <c r="F234" s="76"/>
      <c r="G234" s="76">
        <v>0</v>
      </c>
      <c r="H234" s="76"/>
      <c r="I234" s="76">
        <v>50676.6</v>
      </c>
      <c r="J234" s="76"/>
      <c r="K234" s="76">
        <v>0</v>
      </c>
      <c r="L234" s="76"/>
      <c r="M234" s="76">
        <v>0</v>
      </c>
      <c r="N234" s="76"/>
      <c r="O234" s="76">
        <v>3751.83</v>
      </c>
      <c r="P234" s="76"/>
      <c r="Q234" s="76">
        <v>312.13</v>
      </c>
      <c r="R234" s="76"/>
      <c r="S234" s="76">
        <v>602.5</v>
      </c>
      <c r="T234" s="76"/>
      <c r="U234" s="76">
        <v>0</v>
      </c>
      <c r="V234" s="76"/>
      <c r="W234" s="76">
        <v>0</v>
      </c>
      <c r="X234" s="76"/>
      <c r="Y234" s="76">
        <v>0</v>
      </c>
      <c r="Z234" s="76"/>
      <c r="AA234" s="76">
        <v>0</v>
      </c>
      <c r="AB234" s="76"/>
      <c r="AC234" s="76">
        <v>0</v>
      </c>
      <c r="AD234" s="76"/>
      <c r="AE234" s="76">
        <v>0</v>
      </c>
      <c r="AF234" s="76"/>
      <c r="AG234" s="76">
        <v>0</v>
      </c>
      <c r="AH234"/>
      <c r="AI234" s="76">
        <f t="shared" si="3"/>
        <v>73428.840000000011</v>
      </c>
      <c r="AJ234" s="10"/>
      <c r="AK234" s="7"/>
      <c r="AL234" s="7"/>
      <c r="AM234" s="7"/>
    </row>
    <row r="235" spans="1:39" s="15" customFormat="1" ht="12" customHeight="1" x14ac:dyDescent="0.2">
      <c r="A235" s="1"/>
      <c r="B235" s="1"/>
      <c r="C235" s="1"/>
      <c r="D235" s="1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10"/>
      <c r="AK235" s="21"/>
      <c r="AL235" s="21"/>
      <c r="AM235" s="21"/>
    </row>
    <row r="236" spans="1:39" s="15" customFormat="1" ht="12" customHeight="1" x14ac:dyDescent="0.2">
      <c r="A236" s="1"/>
      <c r="B236" s="1"/>
      <c r="C236" s="1"/>
      <c r="D236" s="1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 t="s">
        <v>850</v>
      </c>
      <c r="AJ236" s="10"/>
      <c r="AK236" s="21"/>
      <c r="AL236" s="21"/>
      <c r="AM236" s="21"/>
    </row>
    <row r="237" spans="1:39" s="15" customFormat="1" ht="12" customHeight="1" x14ac:dyDescent="0.2">
      <c r="A237" s="1"/>
      <c r="B237" s="1"/>
      <c r="C237" s="1"/>
      <c r="D237" s="1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10"/>
      <c r="AK237" s="21"/>
      <c r="AL237" s="21"/>
      <c r="AM237" s="21"/>
    </row>
    <row r="238" spans="1:39" ht="12" customHeight="1" x14ac:dyDescent="0.2">
      <c r="A238" s="1" t="s">
        <v>526</v>
      </c>
      <c r="C238" s="1" t="s">
        <v>525</v>
      </c>
      <c r="E238" s="88">
        <v>104187.32</v>
      </c>
      <c r="F238" s="88"/>
      <c r="G238" s="88">
        <v>587162.16</v>
      </c>
      <c r="H238" s="88"/>
      <c r="I238" s="88">
        <v>92195.89</v>
      </c>
      <c r="J238" s="88"/>
      <c r="K238" s="88">
        <v>3199.12</v>
      </c>
      <c r="L238" s="88"/>
      <c r="M238" s="88">
        <v>2038.13</v>
      </c>
      <c r="N238" s="88"/>
      <c r="O238" s="88">
        <v>38513.67</v>
      </c>
      <c r="P238" s="88"/>
      <c r="Q238" s="88">
        <v>3821.57</v>
      </c>
      <c r="R238" s="88"/>
      <c r="S238" s="88">
        <v>17141.63</v>
      </c>
      <c r="T238" s="88"/>
      <c r="U238" s="88">
        <v>0</v>
      </c>
      <c r="V238" s="88"/>
      <c r="W238" s="88">
        <v>0</v>
      </c>
      <c r="X238" s="88"/>
      <c r="Y238" s="88">
        <v>3340</v>
      </c>
      <c r="Z238" s="88"/>
      <c r="AA238" s="88">
        <v>65019.98</v>
      </c>
      <c r="AB238" s="88"/>
      <c r="AC238" s="88">
        <v>0</v>
      </c>
      <c r="AD238" s="88"/>
      <c r="AE238" s="88">
        <v>0</v>
      </c>
      <c r="AF238" s="88"/>
      <c r="AG238" s="88">
        <v>0</v>
      </c>
      <c r="AH238" s="88"/>
      <c r="AI238" s="88">
        <f t="shared" si="3"/>
        <v>916619.47</v>
      </c>
      <c r="AJ238" s="10"/>
    </row>
    <row r="239" spans="1:39" s="21" customFormat="1" ht="12" customHeight="1" x14ac:dyDescent="0.2">
      <c r="A239" s="1" t="s">
        <v>205</v>
      </c>
      <c r="B239" s="1"/>
      <c r="C239" s="1" t="s">
        <v>797</v>
      </c>
      <c r="D239" s="1"/>
      <c r="E239" s="76">
        <v>13451.55</v>
      </c>
      <c r="F239" s="76"/>
      <c r="G239" s="76">
        <v>0</v>
      </c>
      <c r="H239" s="76"/>
      <c r="I239" s="76">
        <v>27227.91</v>
      </c>
      <c r="J239" s="76"/>
      <c r="K239" s="76">
        <v>0</v>
      </c>
      <c r="L239" s="76"/>
      <c r="M239" s="76">
        <v>14477.47</v>
      </c>
      <c r="N239" s="76"/>
      <c r="O239" s="76">
        <v>385</v>
      </c>
      <c r="P239" s="76"/>
      <c r="Q239" s="76">
        <v>2496.85</v>
      </c>
      <c r="R239" s="76"/>
      <c r="S239" s="76">
        <v>120</v>
      </c>
      <c r="T239" s="76"/>
      <c r="U239" s="76">
        <v>0</v>
      </c>
      <c r="V239" s="76"/>
      <c r="W239" s="76">
        <v>0</v>
      </c>
      <c r="X239" s="76"/>
      <c r="Y239" s="76">
        <v>0</v>
      </c>
      <c r="Z239" s="76"/>
      <c r="AA239" s="76">
        <v>0</v>
      </c>
      <c r="AB239" s="76"/>
      <c r="AC239" s="76">
        <v>0</v>
      </c>
      <c r="AD239" s="76"/>
      <c r="AE239" s="76">
        <v>0</v>
      </c>
      <c r="AF239" s="76"/>
      <c r="AG239" s="76">
        <v>0</v>
      </c>
      <c r="AH239" s="81"/>
      <c r="AI239" s="76">
        <f t="shared" si="3"/>
        <v>58158.78</v>
      </c>
      <c r="AJ239" s="10"/>
      <c r="AK239" s="1"/>
      <c r="AL239" s="1"/>
      <c r="AM239" s="1"/>
    </row>
    <row r="240" spans="1:39" ht="12" customHeight="1" x14ac:dyDescent="0.2">
      <c r="A240" s="1" t="s">
        <v>515</v>
      </c>
      <c r="C240" s="1" t="s">
        <v>513</v>
      </c>
      <c r="E240" s="76">
        <v>86298.12</v>
      </c>
      <c r="F240" s="76"/>
      <c r="G240" s="76">
        <v>245194</v>
      </c>
      <c r="H240" s="76"/>
      <c r="I240" s="76">
        <v>44964.08</v>
      </c>
      <c r="J240" s="76"/>
      <c r="K240" s="76">
        <v>0</v>
      </c>
      <c r="L240" s="76"/>
      <c r="M240" s="76">
        <v>25927.62</v>
      </c>
      <c r="N240" s="76"/>
      <c r="O240" s="76">
        <v>621</v>
      </c>
      <c r="P240" s="76"/>
      <c r="Q240" s="76">
        <v>2505.0700000000002</v>
      </c>
      <c r="R240" s="76"/>
      <c r="S240" s="76">
        <v>2958.86</v>
      </c>
      <c r="T240" s="76"/>
      <c r="U240" s="76">
        <v>0</v>
      </c>
      <c r="V240" s="76"/>
      <c r="W240" s="76">
        <v>0</v>
      </c>
      <c r="X240" s="76"/>
      <c r="Y240" s="76">
        <v>0</v>
      </c>
      <c r="Z240" s="76"/>
      <c r="AA240" s="76">
        <v>0</v>
      </c>
      <c r="AB240" s="76"/>
      <c r="AC240" s="76">
        <v>0</v>
      </c>
      <c r="AD240" s="76"/>
      <c r="AE240" s="76">
        <v>0</v>
      </c>
      <c r="AF240" s="76"/>
      <c r="AG240" s="76">
        <v>0</v>
      </c>
      <c r="AH240" s="81"/>
      <c r="AI240" s="76">
        <f t="shared" si="3"/>
        <v>408468.75</v>
      </c>
      <c r="AJ240" s="10"/>
    </row>
    <row r="241" spans="1:39" s="21" customFormat="1" ht="12" customHeight="1" x14ac:dyDescent="0.2">
      <c r="A241" s="1" t="s">
        <v>381</v>
      </c>
      <c r="B241" s="1"/>
      <c r="C241" s="1" t="s">
        <v>378</v>
      </c>
      <c r="D241" s="1"/>
      <c r="E241" s="76">
        <v>1835236</v>
      </c>
      <c r="F241" s="76"/>
      <c r="G241" s="76">
        <v>0</v>
      </c>
      <c r="H241" s="76"/>
      <c r="I241" s="76">
        <v>249696</v>
      </c>
      <c r="J241" s="76"/>
      <c r="K241" s="76">
        <v>0</v>
      </c>
      <c r="L241" s="76"/>
      <c r="M241" s="76">
        <v>6132</v>
      </c>
      <c r="N241" s="76"/>
      <c r="O241" s="76">
        <v>122204</v>
      </c>
      <c r="P241" s="76"/>
      <c r="Q241" s="76">
        <v>4743</v>
      </c>
      <c r="R241" s="76"/>
      <c r="S241" s="76">
        <v>27136</v>
      </c>
      <c r="T241" s="76"/>
      <c r="U241" s="76">
        <v>0</v>
      </c>
      <c r="V241" s="76"/>
      <c r="W241" s="76">
        <v>0</v>
      </c>
      <c r="X241" s="76"/>
      <c r="Y241" s="76">
        <v>0</v>
      </c>
      <c r="Z241" s="76"/>
      <c r="AA241" s="76">
        <v>0</v>
      </c>
      <c r="AB241" s="76"/>
      <c r="AC241" s="76">
        <v>1500</v>
      </c>
      <c r="AD241" s="76"/>
      <c r="AE241" s="76">
        <v>0</v>
      </c>
      <c r="AF241" s="76"/>
      <c r="AG241" s="76">
        <v>0</v>
      </c>
      <c r="AH241" s="76"/>
      <c r="AI241" s="76">
        <f t="shared" si="3"/>
        <v>2246647</v>
      </c>
      <c r="AJ241" s="10"/>
      <c r="AK241" s="1"/>
      <c r="AL241" s="1"/>
      <c r="AM241" s="1"/>
    </row>
    <row r="242" spans="1:39" ht="12" customHeight="1" x14ac:dyDescent="0.2">
      <c r="A242" s="1" t="s">
        <v>501</v>
      </c>
      <c r="C242" s="1" t="s">
        <v>500</v>
      </c>
      <c r="E242" s="76">
        <v>12542</v>
      </c>
      <c r="F242" s="76"/>
      <c r="G242" s="76">
        <v>0</v>
      </c>
      <c r="H242" s="76"/>
      <c r="I242" s="76">
        <v>890</v>
      </c>
      <c r="J242" s="76"/>
      <c r="K242" s="76">
        <v>0</v>
      </c>
      <c r="L242" s="76"/>
      <c r="M242" s="76">
        <v>0</v>
      </c>
      <c r="N242" s="76"/>
      <c r="O242" s="76">
        <v>360</v>
      </c>
      <c r="P242" s="76"/>
      <c r="Q242" s="76">
        <v>0</v>
      </c>
      <c r="R242" s="76"/>
      <c r="S242" s="76">
        <v>3000</v>
      </c>
      <c r="T242" s="76"/>
      <c r="U242" s="76">
        <v>0</v>
      </c>
      <c r="V242" s="76"/>
      <c r="W242" s="76">
        <v>0</v>
      </c>
      <c r="X242" s="76"/>
      <c r="Y242" s="76">
        <v>0</v>
      </c>
      <c r="Z242" s="76"/>
      <c r="AA242" s="76">
        <v>3600</v>
      </c>
      <c r="AB242" s="76"/>
      <c r="AC242" s="76">
        <v>0</v>
      </c>
      <c r="AD242" s="76"/>
      <c r="AE242" s="76">
        <v>0</v>
      </c>
      <c r="AF242" s="76"/>
      <c r="AG242" s="76">
        <v>0</v>
      </c>
      <c r="AH242" s="76"/>
      <c r="AI242" s="76">
        <f t="shared" si="3"/>
        <v>20392</v>
      </c>
      <c r="AJ242" s="10"/>
      <c r="AK242" s="21"/>
      <c r="AL242" s="21"/>
      <c r="AM242" s="21"/>
    </row>
    <row r="243" spans="1:39" s="21" customFormat="1" ht="12" customHeight="1" x14ac:dyDescent="0.2">
      <c r="A243" s="1" t="s">
        <v>851</v>
      </c>
      <c r="B243" s="1"/>
      <c r="C243" s="1" t="s">
        <v>412</v>
      </c>
      <c r="D243" s="1"/>
      <c r="E243" s="76">
        <v>727</v>
      </c>
      <c r="F243" s="76"/>
      <c r="G243" s="76">
        <v>4645</v>
      </c>
      <c r="H243" s="76"/>
      <c r="I243" s="76">
        <v>23493</v>
      </c>
      <c r="J243" s="76"/>
      <c r="K243" s="76">
        <v>0</v>
      </c>
      <c r="L243" s="76"/>
      <c r="M243" s="76">
        <v>6614</v>
      </c>
      <c r="N243" s="76"/>
      <c r="O243" s="76">
        <v>150</v>
      </c>
      <c r="P243" s="76"/>
      <c r="Q243" s="76">
        <v>479</v>
      </c>
      <c r="R243" s="76"/>
      <c r="S243" s="76">
        <v>10170</v>
      </c>
      <c r="T243" s="76"/>
      <c r="U243" s="76">
        <v>0</v>
      </c>
      <c r="V243" s="76"/>
      <c r="W243" s="76">
        <v>0</v>
      </c>
      <c r="X243" s="76"/>
      <c r="Y243" s="76">
        <v>0</v>
      </c>
      <c r="Z243" s="76"/>
      <c r="AA243" s="76">
        <v>0</v>
      </c>
      <c r="AB243" s="76"/>
      <c r="AC243" s="76">
        <v>0</v>
      </c>
      <c r="AD243" s="76"/>
      <c r="AE243" s="76">
        <v>0</v>
      </c>
      <c r="AF243" s="76"/>
      <c r="AG243" s="76">
        <v>0</v>
      </c>
      <c r="AH243" s="76"/>
      <c r="AI243" s="76">
        <f t="shared" si="3"/>
        <v>46278</v>
      </c>
      <c r="AJ243" s="10"/>
      <c r="AK243" s="1"/>
      <c r="AL243" s="1"/>
      <c r="AM243" s="1"/>
    </row>
    <row r="244" spans="1:39" ht="12" customHeight="1" x14ac:dyDescent="0.2">
      <c r="A244" s="1" t="s">
        <v>49</v>
      </c>
      <c r="C244" s="1" t="s">
        <v>751</v>
      </c>
      <c r="E244" s="76">
        <v>160481.95000000001</v>
      </c>
      <c r="F244" s="76"/>
      <c r="G244" s="76">
        <v>2309611.0699999998</v>
      </c>
      <c r="H244" s="76"/>
      <c r="I244" s="76">
        <v>51109.42</v>
      </c>
      <c r="J244" s="76"/>
      <c r="K244" s="76">
        <v>0</v>
      </c>
      <c r="L244" s="76"/>
      <c r="M244" s="76">
        <v>3000</v>
      </c>
      <c r="N244" s="76"/>
      <c r="O244" s="76">
        <v>192880.1</v>
      </c>
      <c r="P244" s="76"/>
      <c r="Q244" s="76">
        <v>2605.9699999999998</v>
      </c>
      <c r="R244" s="76"/>
      <c r="S244" s="76">
        <v>140667.06</v>
      </c>
      <c r="T244" s="76"/>
      <c r="U244" s="76">
        <v>0</v>
      </c>
      <c r="V244" s="76"/>
      <c r="W244" s="76">
        <v>0</v>
      </c>
      <c r="X244" s="76"/>
      <c r="Y244" s="76">
        <v>0</v>
      </c>
      <c r="Z244" s="76"/>
      <c r="AA244" s="76">
        <v>0</v>
      </c>
      <c r="AB244" s="76"/>
      <c r="AC244" s="76">
        <v>35000</v>
      </c>
      <c r="AD244" s="76"/>
      <c r="AE244" s="76">
        <v>0</v>
      </c>
      <c r="AF244" s="76"/>
      <c r="AG244" s="76">
        <v>0</v>
      </c>
      <c r="AH244"/>
      <c r="AI244" s="76">
        <f t="shared" si="3"/>
        <v>2895355.5700000003</v>
      </c>
      <c r="AJ244" s="10"/>
      <c r="AK244" s="21"/>
      <c r="AL244" s="21"/>
      <c r="AM244" s="21"/>
    </row>
    <row r="245" spans="1:39" s="31" customFormat="1" ht="12" customHeight="1" x14ac:dyDescent="0.2">
      <c r="A245" s="1" t="s">
        <v>153</v>
      </c>
      <c r="B245" s="1"/>
      <c r="C245" s="1" t="s">
        <v>781</v>
      </c>
      <c r="D245" s="1"/>
      <c r="E245" s="76">
        <v>55621.55</v>
      </c>
      <c r="F245" s="76"/>
      <c r="G245" s="76">
        <v>0</v>
      </c>
      <c r="H245" s="76"/>
      <c r="I245" s="76">
        <v>29490.86</v>
      </c>
      <c r="J245" s="76"/>
      <c r="K245" s="76">
        <v>0</v>
      </c>
      <c r="L245" s="76"/>
      <c r="M245" s="76">
        <v>150</v>
      </c>
      <c r="N245" s="76"/>
      <c r="O245" s="76">
        <v>1105.28</v>
      </c>
      <c r="P245" s="76"/>
      <c r="Q245" s="76">
        <v>332.72</v>
      </c>
      <c r="R245" s="76"/>
      <c r="S245" s="76">
        <v>0</v>
      </c>
      <c r="T245" s="76"/>
      <c r="U245" s="76">
        <v>0</v>
      </c>
      <c r="V245" s="76"/>
      <c r="W245" s="76">
        <v>0</v>
      </c>
      <c r="X245" s="76"/>
      <c r="Y245" s="76">
        <v>0</v>
      </c>
      <c r="Z245" s="76"/>
      <c r="AA245" s="76">
        <v>0</v>
      </c>
      <c r="AB245" s="76"/>
      <c r="AC245" s="76">
        <v>0</v>
      </c>
      <c r="AD245" s="76"/>
      <c r="AE245" s="76">
        <v>187.76</v>
      </c>
      <c r="AF245" s="76"/>
      <c r="AG245" s="76">
        <v>0</v>
      </c>
      <c r="AH245"/>
      <c r="AI245" s="76">
        <f t="shared" si="3"/>
        <v>86888.17</v>
      </c>
      <c r="AJ245" s="10"/>
      <c r="AK245" s="1"/>
      <c r="AL245" s="1"/>
      <c r="AM245" s="1"/>
    </row>
    <row r="246" spans="1:39" ht="12" customHeight="1" x14ac:dyDescent="0.2">
      <c r="A246" s="1" t="s">
        <v>10</v>
      </c>
      <c r="C246" s="1" t="s">
        <v>739</v>
      </c>
      <c r="E246" s="76">
        <v>88460.89</v>
      </c>
      <c r="F246" s="76"/>
      <c r="G246" s="76">
        <v>0</v>
      </c>
      <c r="H246" s="76"/>
      <c r="I246" s="76">
        <v>86727.1</v>
      </c>
      <c r="J246" s="76"/>
      <c r="K246" s="76">
        <v>0</v>
      </c>
      <c r="L246" s="76"/>
      <c r="M246" s="76">
        <v>43845.32</v>
      </c>
      <c r="N246" s="76"/>
      <c r="O246" s="76">
        <v>25030.44</v>
      </c>
      <c r="P246" s="76"/>
      <c r="Q246" s="76">
        <v>432.63</v>
      </c>
      <c r="R246" s="76"/>
      <c r="S246" s="76">
        <v>6167.11</v>
      </c>
      <c r="T246" s="76"/>
      <c r="U246" s="76">
        <v>0</v>
      </c>
      <c r="V246" s="76"/>
      <c r="W246" s="76">
        <v>0</v>
      </c>
      <c r="X246" s="76"/>
      <c r="Y246" s="76">
        <v>0</v>
      </c>
      <c r="Z246" s="76"/>
      <c r="AA246" s="76">
        <v>0</v>
      </c>
      <c r="AB246" s="76"/>
      <c r="AC246" s="76">
        <v>0</v>
      </c>
      <c r="AD246" s="76"/>
      <c r="AE246" s="76">
        <v>0</v>
      </c>
      <c r="AF246" s="76"/>
      <c r="AG246" s="76">
        <v>599.99</v>
      </c>
      <c r="AH246"/>
      <c r="AI246" s="76">
        <f t="shared" si="3"/>
        <v>251263.47999999998</v>
      </c>
      <c r="AJ246" s="10"/>
      <c r="AK246" s="22"/>
      <c r="AL246" s="22"/>
      <c r="AM246" s="22"/>
    </row>
    <row r="247" spans="1:39" ht="12" customHeight="1" x14ac:dyDescent="0.2">
      <c r="A247" s="1" t="s">
        <v>563</v>
      </c>
      <c r="C247" s="1" t="s">
        <v>560</v>
      </c>
      <c r="E247" s="76">
        <v>82065</v>
      </c>
      <c r="F247" s="76"/>
      <c r="G247" s="76">
        <v>0</v>
      </c>
      <c r="H247" s="76"/>
      <c r="I247" s="76">
        <v>26152</v>
      </c>
      <c r="J247" s="76"/>
      <c r="K247" s="76">
        <v>2281</v>
      </c>
      <c r="L247" s="76"/>
      <c r="M247" s="76">
        <v>63261</v>
      </c>
      <c r="N247" s="76"/>
      <c r="O247" s="76">
        <v>2172</v>
      </c>
      <c r="P247" s="76"/>
      <c r="Q247" s="76">
        <v>1193</v>
      </c>
      <c r="R247" s="76"/>
      <c r="S247" s="76">
        <v>154406</v>
      </c>
      <c r="T247" s="76"/>
      <c r="U247" s="76">
        <v>0</v>
      </c>
      <c r="V247" s="76"/>
      <c r="W247" s="76">
        <v>0</v>
      </c>
      <c r="X247" s="76"/>
      <c r="Y247" s="76">
        <v>0</v>
      </c>
      <c r="Z247" s="76"/>
      <c r="AA247" s="76">
        <v>136128</v>
      </c>
      <c r="AB247" s="76"/>
      <c r="AC247" s="76">
        <v>0</v>
      </c>
      <c r="AD247" s="76"/>
      <c r="AE247" s="76">
        <v>0</v>
      </c>
      <c r="AF247" s="76"/>
      <c r="AG247" s="76">
        <v>0</v>
      </c>
      <c r="AH247" s="76"/>
      <c r="AI247" s="76">
        <f t="shared" si="3"/>
        <v>467658</v>
      </c>
      <c r="AJ247" s="10"/>
      <c r="AK247" s="21"/>
      <c r="AL247" s="21"/>
      <c r="AM247" s="21"/>
    </row>
    <row r="248" spans="1:39" s="31" customFormat="1" ht="12" customHeight="1" x14ac:dyDescent="0.2">
      <c r="A248" s="1" t="s">
        <v>382</v>
      </c>
      <c r="B248" s="1"/>
      <c r="C248" s="1" t="s">
        <v>378</v>
      </c>
      <c r="D248" s="1"/>
      <c r="E248" s="76">
        <v>795513</v>
      </c>
      <c r="F248" s="76"/>
      <c r="G248" s="76">
        <v>0</v>
      </c>
      <c r="H248" s="76"/>
      <c r="I248" s="76">
        <v>102642</v>
      </c>
      <c r="J248" s="76"/>
      <c r="K248" s="76">
        <v>0</v>
      </c>
      <c r="L248" s="76"/>
      <c r="M248" s="76">
        <v>741508</v>
      </c>
      <c r="N248" s="76"/>
      <c r="O248" s="76">
        <v>101926</v>
      </c>
      <c r="P248" s="76"/>
      <c r="Q248" s="76">
        <v>0</v>
      </c>
      <c r="R248" s="76"/>
      <c r="S248" s="76">
        <v>61126</v>
      </c>
      <c r="T248" s="76"/>
      <c r="U248" s="76">
        <v>0</v>
      </c>
      <c r="V248" s="76"/>
      <c r="W248" s="76">
        <v>0</v>
      </c>
      <c r="X248" s="76"/>
      <c r="Y248" s="76">
        <v>2598</v>
      </c>
      <c r="Z248" s="76"/>
      <c r="AA248" s="76">
        <v>615000</v>
      </c>
      <c r="AB248" s="76"/>
      <c r="AC248" s="76">
        <v>0</v>
      </c>
      <c r="AD248" s="76"/>
      <c r="AE248" s="76">
        <v>0</v>
      </c>
      <c r="AF248" s="76"/>
      <c r="AG248" s="76">
        <v>0</v>
      </c>
      <c r="AH248" s="76"/>
      <c r="AI248" s="76">
        <f t="shared" si="3"/>
        <v>2420313</v>
      </c>
      <c r="AJ248" s="10"/>
      <c r="AK248" s="21"/>
      <c r="AL248" s="21"/>
      <c r="AM248" s="21"/>
    </row>
    <row r="249" spans="1:39" s="31" customFormat="1" ht="12" customHeight="1" x14ac:dyDescent="0.2">
      <c r="A249" s="15" t="s">
        <v>331</v>
      </c>
      <c r="B249" s="15"/>
      <c r="C249" s="15" t="s">
        <v>329</v>
      </c>
      <c r="D249" s="15"/>
      <c r="E249" s="76">
        <v>10863.37</v>
      </c>
      <c r="F249" s="76"/>
      <c r="G249" s="76">
        <v>0</v>
      </c>
      <c r="H249" s="76"/>
      <c r="I249" s="76">
        <v>20044</v>
      </c>
      <c r="J249" s="76"/>
      <c r="K249" s="76">
        <v>0</v>
      </c>
      <c r="L249" s="76"/>
      <c r="M249" s="76">
        <v>0</v>
      </c>
      <c r="N249" s="76"/>
      <c r="O249" s="76">
        <v>0</v>
      </c>
      <c r="P249" s="76"/>
      <c r="Q249" s="76">
        <v>50.28</v>
      </c>
      <c r="R249" s="76"/>
      <c r="S249" s="76">
        <v>0</v>
      </c>
      <c r="T249" s="76"/>
      <c r="U249" s="76">
        <v>0</v>
      </c>
      <c r="V249" s="76"/>
      <c r="W249" s="76">
        <v>0</v>
      </c>
      <c r="X249" s="76"/>
      <c r="Y249" s="76">
        <v>0</v>
      </c>
      <c r="Z249" s="76"/>
      <c r="AA249" s="76">
        <v>0</v>
      </c>
      <c r="AB249" s="76"/>
      <c r="AC249" s="76">
        <v>0</v>
      </c>
      <c r="AD249" s="76"/>
      <c r="AE249" s="76">
        <v>0</v>
      </c>
      <c r="AF249" s="76"/>
      <c r="AG249" s="76">
        <v>0</v>
      </c>
      <c r="AH249"/>
      <c r="AI249" s="76">
        <f t="shared" si="3"/>
        <v>30957.65</v>
      </c>
      <c r="AJ249" s="24"/>
      <c r="AK249" s="32"/>
      <c r="AL249" s="32"/>
      <c r="AM249" s="32"/>
    </row>
    <row r="250" spans="1:39" s="21" customFormat="1" ht="12" customHeight="1" x14ac:dyDescent="0.2">
      <c r="A250" s="1" t="s">
        <v>450</v>
      </c>
      <c r="B250" s="1"/>
      <c r="C250" s="1" t="s">
        <v>451</v>
      </c>
      <c r="D250" s="1"/>
      <c r="E250" s="76">
        <v>238595</v>
      </c>
      <c r="F250" s="76"/>
      <c r="G250" s="76">
        <v>807644</v>
      </c>
      <c r="H250" s="76"/>
      <c r="I250" s="76">
        <v>125384</v>
      </c>
      <c r="J250" s="76"/>
      <c r="K250" s="76">
        <v>2088</v>
      </c>
      <c r="L250" s="76"/>
      <c r="M250" s="76">
        <v>273764</v>
      </c>
      <c r="N250" s="76"/>
      <c r="O250" s="76">
        <v>73129</v>
      </c>
      <c r="P250" s="76"/>
      <c r="Q250" s="76">
        <v>32719</v>
      </c>
      <c r="R250" s="76"/>
      <c r="S250" s="76">
        <v>59497</v>
      </c>
      <c r="T250" s="76"/>
      <c r="U250" s="76">
        <v>0</v>
      </c>
      <c r="V250" s="76"/>
      <c r="W250" s="76">
        <v>0</v>
      </c>
      <c r="X250" s="76"/>
      <c r="Y250" s="76">
        <v>0</v>
      </c>
      <c r="Z250" s="76"/>
      <c r="AA250" s="76">
        <v>118300</v>
      </c>
      <c r="AB250" s="76"/>
      <c r="AC250" s="76">
        <v>0</v>
      </c>
      <c r="AD250" s="76"/>
      <c r="AE250" s="76">
        <v>0</v>
      </c>
      <c r="AF250" s="76"/>
      <c r="AG250" s="76">
        <v>0</v>
      </c>
      <c r="AH250" s="76"/>
      <c r="AI250" s="76">
        <f t="shared" si="3"/>
        <v>1731120</v>
      </c>
      <c r="AJ250" s="10"/>
      <c r="AK250" s="1"/>
      <c r="AL250" s="1"/>
      <c r="AM250" s="1"/>
    </row>
    <row r="251" spans="1:39" s="21" customFormat="1" ht="12" customHeight="1" x14ac:dyDescent="0.2">
      <c r="A251" s="1" t="s">
        <v>255</v>
      </c>
      <c r="B251" s="1"/>
      <c r="C251" s="1" t="s">
        <v>601</v>
      </c>
      <c r="D251" s="1"/>
      <c r="E251" s="76">
        <v>32828.699999999997</v>
      </c>
      <c r="F251" s="76"/>
      <c r="G251" s="76">
        <v>196.52</v>
      </c>
      <c r="H251" s="76"/>
      <c r="I251" s="76">
        <v>67682.83</v>
      </c>
      <c r="J251" s="76"/>
      <c r="K251" s="76">
        <v>7673.17</v>
      </c>
      <c r="L251" s="76"/>
      <c r="M251" s="76">
        <v>0</v>
      </c>
      <c r="N251" s="76"/>
      <c r="O251" s="76">
        <v>12648.32</v>
      </c>
      <c r="P251" s="76"/>
      <c r="Q251" s="76">
        <v>18736.27</v>
      </c>
      <c r="R251" s="76"/>
      <c r="S251" s="76">
        <v>14023.04</v>
      </c>
      <c r="T251" s="76"/>
      <c r="U251" s="76">
        <v>0</v>
      </c>
      <c r="V251" s="76"/>
      <c r="W251" s="76">
        <v>0</v>
      </c>
      <c r="X251" s="76"/>
      <c r="Y251" s="76">
        <v>0</v>
      </c>
      <c r="Z251" s="76"/>
      <c r="AA251" s="76">
        <v>165837.51</v>
      </c>
      <c r="AB251" s="76"/>
      <c r="AC251" s="76">
        <v>0</v>
      </c>
      <c r="AD251" s="76"/>
      <c r="AE251" s="76">
        <v>6</v>
      </c>
      <c r="AF251" s="76"/>
      <c r="AG251" s="76">
        <v>0</v>
      </c>
      <c r="AH251"/>
      <c r="AI251" s="76">
        <f t="shared" si="3"/>
        <v>319632.36</v>
      </c>
      <c r="AJ251" s="10"/>
      <c r="AK251" s="1"/>
      <c r="AL251" s="1"/>
      <c r="AM251" s="1"/>
    </row>
    <row r="252" spans="1:39" s="21" customFormat="1" ht="12" customHeight="1" x14ac:dyDescent="0.2">
      <c r="A252" s="1" t="s">
        <v>431</v>
      </c>
      <c r="B252" s="1"/>
      <c r="C252" s="1" t="s">
        <v>430</v>
      </c>
      <c r="D252" s="1"/>
      <c r="E252" s="76">
        <v>66531</v>
      </c>
      <c r="F252" s="76"/>
      <c r="G252" s="76">
        <v>276371</v>
      </c>
      <c r="H252" s="76"/>
      <c r="I252" s="76">
        <f>61507+6784</f>
        <v>68291</v>
      </c>
      <c r="J252" s="76"/>
      <c r="K252" s="76">
        <v>0</v>
      </c>
      <c r="L252" s="76"/>
      <c r="M252" s="76">
        <v>7612</v>
      </c>
      <c r="N252" s="76"/>
      <c r="O252" s="76">
        <f>1155+21501</f>
        <v>22656</v>
      </c>
      <c r="P252" s="76"/>
      <c r="Q252" s="76">
        <v>174</v>
      </c>
      <c r="R252" s="76"/>
      <c r="S252" s="76">
        <v>4672</v>
      </c>
      <c r="T252" s="76"/>
      <c r="U252" s="76">
        <v>0</v>
      </c>
      <c r="V252" s="76"/>
      <c r="W252" s="76">
        <v>0</v>
      </c>
      <c r="X252" s="76"/>
      <c r="Y252" s="76">
        <v>0</v>
      </c>
      <c r="Z252" s="76"/>
      <c r="AA252" s="76">
        <v>0</v>
      </c>
      <c r="AB252" s="76"/>
      <c r="AC252" s="76">
        <v>0</v>
      </c>
      <c r="AD252" s="76"/>
      <c r="AE252" s="76">
        <v>0</v>
      </c>
      <c r="AF252" s="76"/>
      <c r="AG252" s="76">
        <v>0</v>
      </c>
      <c r="AH252" s="82"/>
      <c r="AI252" s="76">
        <f t="shared" si="3"/>
        <v>446307</v>
      </c>
      <c r="AJ252" s="36"/>
      <c r="AK252" s="1"/>
      <c r="AL252" s="1"/>
      <c r="AM252" s="1"/>
    </row>
    <row r="253" spans="1:39" s="21" customFormat="1" ht="12" customHeight="1" x14ac:dyDescent="0.2">
      <c r="A253" s="1" t="s">
        <v>438</v>
      </c>
      <c r="B253" s="1"/>
      <c r="C253" s="1" t="s">
        <v>439</v>
      </c>
      <c r="D253" s="1"/>
      <c r="E253" s="76">
        <v>3431897</v>
      </c>
      <c r="F253" s="76"/>
      <c r="G253" s="76">
        <v>0</v>
      </c>
      <c r="H253" s="76"/>
      <c r="I253" s="76">
        <v>215225</v>
      </c>
      <c r="J253" s="76"/>
      <c r="K253" s="76">
        <v>0</v>
      </c>
      <c r="L253" s="76"/>
      <c r="M253" s="76">
        <v>0</v>
      </c>
      <c r="N253" s="76"/>
      <c r="O253" s="76">
        <v>145337</v>
      </c>
      <c r="P253" s="76"/>
      <c r="Q253" s="76">
        <v>13141</v>
      </c>
      <c r="R253" s="76"/>
      <c r="S253" s="76">
        <v>126882</v>
      </c>
      <c r="T253" s="76"/>
      <c r="U253" s="76">
        <v>0</v>
      </c>
      <c r="V253" s="76"/>
      <c r="W253" s="76">
        <v>0</v>
      </c>
      <c r="X253" s="76"/>
      <c r="Y253" s="76">
        <v>0</v>
      </c>
      <c r="Z253" s="76"/>
      <c r="AA253" s="76">
        <v>15000</v>
      </c>
      <c r="AB253" s="76"/>
      <c r="AC253" s="76">
        <v>0</v>
      </c>
      <c r="AD253" s="76"/>
      <c r="AE253" s="76">
        <v>0</v>
      </c>
      <c r="AF253" s="76"/>
      <c r="AG253" s="76">
        <v>0</v>
      </c>
      <c r="AH253" s="76"/>
      <c r="AI253" s="76">
        <f t="shared" si="3"/>
        <v>3947482</v>
      </c>
      <c r="AJ253" s="36"/>
      <c r="AK253" s="1"/>
      <c r="AL253" s="1"/>
      <c r="AM253" s="1"/>
    </row>
    <row r="254" spans="1:39" s="21" customFormat="1" ht="12" customHeight="1" x14ac:dyDescent="0.2">
      <c r="A254" s="1" t="s">
        <v>440</v>
      </c>
      <c r="B254" s="1"/>
      <c r="C254" s="1" t="s">
        <v>439</v>
      </c>
      <c r="D254" s="1"/>
      <c r="E254" s="76">
        <v>2988</v>
      </c>
      <c r="F254" s="76"/>
      <c r="G254" s="76">
        <v>0</v>
      </c>
      <c r="H254" s="76"/>
      <c r="I254" s="76">
        <v>14081</v>
      </c>
      <c r="J254" s="76"/>
      <c r="K254" s="76">
        <v>0</v>
      </c>
      <c r="L254" s="76"/>
      <c r="M254" s="76">
        <v>0</v>
      </c>
      <c r="N254" s="76"/>
      <c r="O254" s="76">
        <v>0</v>
      </c>
      <c r="P254" s="76"/>
      <c r="Q254" s="76">
        <v>0</v>
      </c>
      <c r="R254" s="76"/>
      <c r="S254" s="76">
        <v>55</v>
      </c>
      <c r="T254" s="76"/>
      <c r="U254" s="76">
        <v>0</v>
      </c>
      <c r="V254" s="76"/>
      <c r="W254" s="76">
        <v>0</v>
      </c>
      <c r="X254" s="76"/>
      <c r="Y254" s="76">
        <v>0</v>
      </c>
      <c r="Z254" s="76"/>
      <c r="AA254" s="76">
        <v>0</v>
      </c>
      <c r="AB254" s="76"/>
      <c r="AC254" s="76">
        <v>0</v>
      </c>
      <c r="AD254" s="76"/>
      <c r="AE254" s="76">
        <v>0</v>
      </c>
      <c r="AF254" s="76"/>
      <c r="AG254" s="76">
        <v>0</v>
      </c>
      <c r="AH254" s="76"/>
      <c r="AI254" s="76">
        <f t="shared" si="3"/>
        <v>17124</v>
      </c>
      <c r="AJ254" s="36"/>
      <c r="AK254" s="1"/>
      <c r="AL254" s="1"/>
      <c r="AM254" s="1"/>
    </row>
    <row r="255" spans="1:39" s="31" customFormat="1" ht="12" customHeight="1" x14ac:dyDescent="0.2">
      <c r="A255" s="1" t="s">
        <v>201</v>
      </c>
      <c r="B255" s="1"/>
      <c r="C255" s="1" t="s">
        <v>796</v>
      </c>
      <c r="D255" s="1"/>
      <c r="E255" s="76">
        <v>29019.26</v>
      </c>
      <c r="F255" s="76"/>
      <c r="G255" s="76">
        <v>0</v>
      </c>
      <c r="H255" s="76"/>
      <c r="I255" s="76">
        <v>32574.959999999999</v>
      </c>
      <c r="J255" s="76"/>
      <c r="K255" s="76">
        <v>0</v>
      </c>
      <c r="L255" s="76"/>
      <c r="M255" s="76">
        <v>0</v>
      </c>
      <c r="N255" s="76"/>
      <c r="O255" s="76">
        <v>60203.58</v>
      </c>
      <c r="P255" s="76"/>
      <c r="Q255" s="76">
        <v>363.77</v>
      </c>
      <c r="R255" s="76"/>
      <c r="S255" s="76">
        <v>5557.71</v>
      </c>
      <c r="T255" s="76"/>
      <c r="U255" s="76">
        <v>0</v>
      </c>
      <c r="V255" s="76"/>
      <c r="W255" s="76">
        <v>0</v>
      </c>
      <c r="X255" s="76"/>
      <c r="Y255" s="76">
        <v>0</v>
      </c>
      <c r="Z255" s="76"/>
      <c r="AA255" s="76">
        <v>0</v>
      </c>
      <c r="AB255" s="76"/>
      <c r="AC255" s="76">
        <v>0</v>
      </c>
      <c r="AD255" s="76"/>
      <c r="AE255" s="76">
        <v>400</v>
      </c>
      <c r="AF255" s="76"/>
      <c r="AG255" s="76">
        <v>0</v>
      </c>
      <c r="AH255"/>
      <c r="AI255" s="76">
        <f t="shared" si="3"/>
        <v>128119.28000000001</v>
      </c>
      <c r="AJ255" s="36"/>
      <c r="AK255" s="1"/>
      <c r="AL255" s="1"/>
      <c r="AM255" s="1"/>
    </row>
    <row r="256" spans="1:39" s="21" customFormat="1" ht="12" customHeight="1" x14ac:dyDescent="0.2">
      <c r="A256" s="1" t="s">
        <v>475</v>
      </c>
      <c r="B256" s="1"/>
      <c r="C256" s="1" t="s">
        <v>474</v>
      </c>
      <c r="D256" s="1"/>
      <c r="E256" s="76">
        <v>2189</v>
      </c>
      <c r="F256" s="76"/>
      <c r="G256" s="76">
        <v>0</v>
      </c>
      <c r="H256" s="76"/>
      <c r="I256" s="76">
        <v>4985</v>
      </c>
      <c r="J256" s="76"/>
      <c r="K256" s="76">
        <v>0</v>
      </c>
      <c r="L256" s="76"/>
      <c r="M256" s="76">
        <v>0</v>
      </c>
      <c r="N256" s="76"/>
      <c r="O256" s="76">
        <v>0</v>
      </c>
      <c r="P256" s="76"/>
      <c r="Q256" s="76">
        <v>2</v>
      </c>
      <c r="R256" s="76"/>
      <c r="S256" s="76">
        <v>0</v>
      </c>
      <c r="T256" s="76"/>
      <c r="U256" s="76">
        <v>0</v>
      </c>
      <c r="V256" s="76"/>
      <c r="W256" s="76">
        <v>0</v>
      </c>
      <c r="X256" s="76"/>
      <c r="Y256" s="76">
        <v>0</v>
      </c>
      <c r="Z256" s="76"/>
      <c r="AA256" s="76">
        <v>0</v>
      </c>
      <c r="AB256" s="76"/>
      <c r="AC256" s="76">
        <v>0</v>
      </c>
      <c r="AD256" s="76"/>
      <c r="AE256" s="76">
        <v>0</v>
      </c>
      <c r="AF256" s="76"/>
      <c r="AG256" s="76">
        <v>0</v>
      </c>
      <c r="AH256" s="76"/>
      <c r="AI256" s="76">
        <f t="shared" si="3"/>
        <v>7176</v>
      </c>
      <c r="AJ256" s="36"/>
      <c r="AK256" s="1"/>
      <c r="AL256" s="1"/>
      <c r="AM256" s="1"/>
    </row>
    <row r="257" spans="1:39" s="21" customFormat="1" ht="12" customHeight="1" x14ac:dyDescent="0.2">
      <c r="A257" s="1" t="s">
        <v>148</v>
      </c>
      <c r="B257" s="1"/>
      <c r="C257" s="1" t="s">
        <v>463</v>
      </c>
      <c r="D257" s="1"/>
      <c r="E257" s="76">
        <v>28030.03</v>
      </c>
      <c r="F257" s="76"/>
      <c r="G257" s="76">
        <v>0</v>
      </c>
      <c r="H257" s="76"/>
      <c r="I257" s="76">
        <v>10197.42</v>
      </c>
      <c r="J257" s="76"/>
      <c r="K257" s="76">
        <v>0</v>
      </c>
      <c r="L257" s="76"/>
      <c r="M257" s="76">
        <v>1186.99</v>
      </c>
      <c r="N257" s="76"/>
      <c r="O257" s="76">
        <v>1000</v>
      </c>
      <c r="P257" s="76"/>
      <c r="Q257" s="76">
        <v>108.34</v>
      </c>
      <c r="R257" s="76"/>
      <c r="S257" s="76">
        <v>123</v>
      </c>
      <c r="T257" s="76"/>
      <c r="U257" s="76">
        <v>0</v>
      </c>
      <c r="V257" s="76"/>
      <c r="W257" s="76">
        <v>0</v>
      </c>
      <c r="X257" s="76"/>
      <c r="Y257" s="76">
        <v>0</v>
      </c>
      <c r="Z257" s="76"/>
      <c r="AA257" s="76">
        <v>0</v>
      </c>
      <c r="AB257" s="76"/>
      <c r="AC257" s="76">
        <v>0</v>
      </c>
      <c r="AD257" s="76"/>
      <c r="AE257" s="76">
        <v>0</v>
      </c>
      <c r="AF257" s="76"/>
      <c r="AG257" s="76">
        <v>0</v>
      </c>
      <c r="AH257"/>
      <c r="AI257" s="76">
        <f t="shared" si="3"/>
        <v>40645.779999999992</v>
      </c>
      <c r="AJ257" s="36"/>
      <c r="AK257" s="1"/>
      <c r="AL257" s="1"/>
      <c r="AM257" s="1"/>
    </row>
    <row r="258" spans="1:39" s="21" customFormat="1" ht="12" customHeight="1" x14ac:dyDescent="0.2">
      <c r="A258" s="1" t="s">
        <v>219</v>
      </c>
      <c r="B258" s="1"/>
      <c r="C258" s="1" t="s">
        <v>802</v>
      </c>
      <c r="D258" s="1"/>
      <c r="E258" s="76">
        <v>42052.24</v>
      </c>
      <c r="F258" s="76"/>
      <c r="G258" s="76">
        <v>261225.57</v>
      </c>
      <c r="H258" s="76"/>
      <c r="I258" s="76">
        <v>73398.45</v>
      </c>
      <c r="J258" s="76"/>
      <c r="K258" s="76">
        <v>0</v>
      </c>
      <c r="L258" s="76"/>
      <c r="M258" s="76">
        <v>2779.75</v>
      </c>
      <c r="N258" s="76"/>
      <c r="O258" s="76">
        <v>14437.51</v>
      </c>
      <c r="P258" s="76"/>
      <c r="Q258" s="76">
        <v>1081.1500000000001</v>
      </c>
      <c r="R258" s="76"/>
      <c r="S258" s="76">
        <v>19359.46</v>
      </c>
      <c r="T258" s="76"/>
      <c r="U258" s="76">
        <v>0</v>
      </c>
      <c r="V258" s="76"/>
      <c r="W258" s="76">
        <v>0</v>
      </c>
      <c r="X258" s="76"/>
      <c r="Y258" s="76">
        <v>0</v>
      </c>
      <c r="Z258" s="76"/>
      <c r="AA258" s="76">
        <v>0</v>
      </c>
      <c r="AB258" s="76"/>
      <c r="AC258" s="76">
        <v>0</v>
      </c>
      <c r="AD258" s="76"/>
      <c r="AE258" s="76">
        <v>0</v>
      </c>
      <c r="AF258" s="76"/>
      <c r="AG258" s="76">
        <v>0</v>
      </c>
      <c r="AH258"/>
      <c r="AI258" s="76">
        <f t="shared" si="3"/>
        <v>414334.13000000006</v>
      </c>
      <c r="AJ258" s="36"/>
      <c r="AK258" s="1"/>
      <c r="AL258" s="1"/>
      <c r="AM258" s="1"/>
    </row>
    <row r="259" spans="1:39" s="31" customFormat="1" ht="12" customHeight="1" x14ac:dyDescent="0.2">
      <c r="A259" s="1" t="s">
        <v>946</v>
      </c>
      <c r="B259" s="1"/>
      <c r="C259" s="1" t="s">
        <v>409</v>
      </c>
      <c r="D259" s="1"/>
      <c r="E259" s="76">
        <v>93094</v>
      </c>
      <c r="F259" s="76"/>
      <c r="G259" s="76">
        <v>970631</v>
      </c>
      <c r="H259" s="76"/>
      <c r="I259" s="76">
        <v>186290</v>
      </c>
      <c r="J259" s="76"/>
      <c r="K259" s="76">
        <v>0</v>
      </c>
      <c r="L259" s="76"/>
      <c r="M259" s="76">
        <v>54043</v>
      </c>
      <c r="N259" s="76"/>
      <c r="O259" s="76">
        <v>10497</v>
      </c>
      <c r="P259" s="76"/>
      <c r="Q259" s="76">
        <v>8153</v>
      </c>
      <c r="R259" s="76"/>
      <c r="S259" s="76">
        <v>6686</v>
      </c>
      <c r="T259" s="76"/>
      <c r="U259" s="76">
        <v>0</v>
      </c>
      <c r="V259" s="76"/>
      <c r="W259" s="76">
        <v>0</v>
      </c>
      <c r="X259" s="76"/>
      <c r="Y259" s="76">
        <v>0</v>
      </c>
      <c r="Z259" s="76"/>
      <c r="AA259" s="76">
        <v>0</v>
      </c>
      <c r="AB259" s="76"/>
      <c r="AC259" s="76">
        <v>0</v>
      </c>
      <c r="AD259" s="76"/>
      <c r="AE259" s="76">
        <v>0</v>
      </c>
      <c r="AF259" s="76"/>
      <c r="AG259" s="76">
        <v>0</v>
      </c>
      <c r="AH259" s="86"/>
      <c r="AI259" s="76">
        <f t="shared" si="3"/>
        <v>1329394</v>
      </c>
      <c r="AJ259" s="36"/>
      <c r="AK259" s="1"/>
      <c r="AL259" s="1"/>
      <c r="AM259" s="1"/>
    </row>
    <row r="260" spans="1:39" ht="12" customHeight="1" x14ac:dyDescent="0.2">
      <c r="A260" s="1" t="s">
        <v>94</v>
      </c>
      <c r="C260" s="1" t="s">
        <v>763</v>
      </c>
      <c r="E260" s="76">
        <v>357391.94</v>
      </c>
      <c r="F260" s="76"/>
      <c r="G260" s="76">
        <v>1010348.52</v>
      </c>
      <c r="H260" s="76"/>
      <c r="I260" s="76">
        <v>612300.17000000004</v>
      </c>
      <c r="J260" s="76"/>
      <c r="K260" s="76">
        <v>0</v>
      </c>
      <c r="L260" s="76"/>
      <c r="M260" s="76">
        <v>100096.05</v>
      </c>
      <c r="N260" s="76"/>
      <c r="O260" s="76">
        <v>116579.94</v>
      </c>
      <c r="P260" s="76"/>
      <c r="Q260" s="76">
        <v>272.51</v>
      </c>
      <c r="R260" s="76"/>
      <c r="S260" s="76">
        <v>65947.990000000005</v>
      </c>
      <c r="T260" s="76"/>
      <c r="U260" s="76">
        <v>0</v>
      </c>
      <c r="V260" s="76"/>
      <c r="W260" s="76">
        <v>0</v>
      </c>
      <c r="X260" s="76"/>
      <c r="Y260" s="76">
        <v>0</v>
      </c>
      <c r="Z260" s="76"/>
      <c r="AA260" s="76">
        <v>0</v>
      </c>
      <c r="AB260" s="76"/>
      <c r="AC260" s="76">
        <v>45000</v>
      </c>
      <c r="AD260" s="76"/>
      <c r="AE260" s="76">
        <v>0</v>
      </c>
      <c r="AF260" s="76"/>
      <c r="AG260" s="76">
        <v>0</v>
      </c>
      <c r="AH260" s="81"/>
      <c r="AI260" s="76">
        <f t="shared" si="3"/>
        <v>2307937.12</v>
      </c>
      <c r="AJ260" s="10"/>
    </row>
    <row r="261" spans="1:39" ht="12" customHeight="1" x14ac:dyDescent="0.2">
      <c r="A261" s="1" t="s">
        <v>113</v>
      </c>
      <c r="C261" s="1" t="s">
        <v>769</v>
      </c>
      <c r="E261" s="76">
        <v>133037.32999999999</v>
      </c>
      <c r="F261" s="76"/>
      <c r="G261" s="76">
        <v>0</v>
      </c>
      <c r="H261" s="76"/>
      <c r="I261" s="76">
        <v>83768.679999999993</v>
      </c>
      <c r="J261" s="76"/>
      <c r="K261" s="76">
        <v>0</v>
      </c>
      <c r="L261" s="76"/>
      <c r="M261" s="76">
        <v>0</v>
      </c>
      <c r="N261" s="76"/>
      <c r="O261" s="76">
        <v>26837.119999999999</v>
      </c>
      <c r="P261" s="76"/>
      <c r="Q261" s="76">
        <v>3592</v>
      </c>
      <c r="R261" s="76"/>
      <c r="S261" s="76">
        <v>4991.47</v>
      </c>
      <c r="T261" s="76"/>
      <c r="U261" s="76">
        <v>0</v>
      </c>
      <c r="V261" s="76"/>
      <c r="W261" s="76">
        <v>0</v>
      </c>
      <c r="X261" s="76"/>
      <c r="Y261" s="76">
        <v>0</v>
      </c>
      <c r="Z261" s="76"/>
      <c r="AA261" s="76">
        <v>161322.19</v>
      </c>
      <c r="AB261" s="76"/>
      <c r="AC261" s="76">
        <v>0</v>
      </c>
      <c r="AD261" s="76"/>
      <c r="AE261" s="76">
        <v>0</v>
      </c>
      <c r="AF261" s="76"/>
      <c r="AG261" s="76">
        <v>0</v>
      </c>
      <c r="AH261"/>
      <c r="AI261" s="76">
        <f t="shared" si="3"/>
        <v>413548.79</v>
      </c>
      <c r="AJ261" s="10"/>
    </row>
    <row r="262" spans="1:39" ht="12" hidden="1" customHeight="1" x14ac:dyDescent="0.2">
      <c r="A262" s="1" t="s">
        <v>354</v>
      </c>
      <c r="C262" s="1" t="s">
        <v>353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/>
      <c r="AI262" s="76">
        <f t="shared" si="3"/>
        <v>0</v>
      </c>
      <c r="AJ262" s="10"/>
    </row>
    <row r="263" spans="1:39" s="21" customFormat="1" ht="12" customHeight="1" x14ac:dyDescent="0.2">
      <c r="A263" s="1" t="s">
        <v>686</v>
      </c>
      <c r="B263" s="1"/>
      <c r="C263" s="1" t="s">
        <v>496</v>
      </c>
      <c r="D263" s="1"/>
      <c r="E263" s="76">
        <v>14696</v>
      </c>
      <c r="F263" s="76"/>
      <c r="G263" s="76">
        <v>0</v>
      </c>
      <c r="H263" s="76"/>
      <c r="I263" s="76">
        <v>23901</v>
      </c>
      <c r="J263" s="76"/>
      <c r="K263" s="76">
        <v>0</v>
      </c>
      <c r="L263" s="76"/>
      <c r="M263" s="76">
        <v>0</v>
      </c>
      <c r="N263" s="76"/>
      <c r="O263" s="76">
        <v>2110</v>
      </c>
      <c r="P263" s="76"/>
      <c r="Q263" s="76">
        <v>0</v>
      </c>
      <c r="R263" s="76"/>
      <c r="S263" s="76">
        <v>11278</v>
      </c>
      <c r="T263" s="76"/>
      <c r="U263" s="76">
        <v>0</v>
      </c>
      <c r="V263" s="76"/>
      <c r="W263" s="76">
        <v>0</v>
      </c>
      <c r="X263" s="76"/>
      <c r="Y263" s="76">
        <v>0</v>
      </c>
      <c r="Z263" s="76"/>
      <c r="AA263" s="76">
        <v>0</v>
      </c>
      <c r="AB263" s="76"/>
      <c r="AC263" s="76">
        <v>0</v>
      </c>
      <c r="AD263" s="76"/>
      <c r="AE263" s="76">
        <v>0</v>
      </c>
      <c r="AF263" s="76"/>
      <c r="AG263" s="76">
        <v>0</v>
      </c>
      <c r="AH263" s="76"/>
      <c r="AI263" s="76">
        <f t="shared" si="3"/>
        <v>51985</v>
      </c>
      <c r="AJ263" s="10"/>
      <c r="AK263" s="1"/>
      <c r="AL263" s="1"/>
      <c r="AM263" s="1"/>
    </row>
    <row r="264" spans="1:39" ht="12" customHeight="1" x14ac:dyDescent="0.2">
      <c r="A264" s="1" t="s">
        <v>365</v>
      </c>
      <c r="C264" s="1" t="s">
        <v>82</v>
      </c>
      <c r="E264" s="76">
        <v>28041.15</v>
      </c>
      <c r="F264" s="76"/>
      <c r="G264" s="76">
        <v>0</v>
      </c>
      <c r="H264" s="76"/>
      <c r="I264" s="76">
        <v>37766.910000000003</v>
      </c>
      <c r="J264" s="76"/>
      <c r="K264" s="76">
        <v>0</v>
      </c>
      <c r="L264" s="76"/>
      <c r="M264" s="76">
        <v>12370</v>
      </c>
      <c r="N264" s="76"/>
      <c r="O264" s="76">
        <v>250</v>
      </c>
      <c r="P264" s="76"/>
      <c r="Q264" s="76">
        <v>1441.07</v>
      </c>
      <c r="R264" s="76"/>
      <c r="S264" s="76">
        <v>2095.9899999999998</v>
      </c>
      <c r="T264" s="76"/>
      <c r="U264" s="76">
        <v>0</v>
      </c>
      <c r="V264" s="76"/>
      <c r="W264" s="76">
        <v>0</v>
      </c>
      <c r="X264" s="76"/>
      <c r="Y264" s="76">
        <v>0</v>
      </c>
      <c r="Z264" s="76"/>
      <c r="AA264" s="76">
        <v>0</v>
      </c>
      <c r="AB264" s="76"/>
      <c r="AC264" s="76">
        <v>0</v>
      </c>
      <c r="AD264" s="76"/>
      <c r="AE264" s="76">
        <v>0</v>
      </c>
      <c r="AF264" s="76"/>
      <c r="AG264" s="76">
        <v>0</v>
      </c>
      <c r="AH264"/>
      <c r="AI264" s="76">
        <f t="shared" si="3"/>
        <v>81965.12000000001</v>
      </c>
      <c r="AJ264" s="10"/>
    </row>
    <row r="265" spans="1:39" ht="12" customHeight="1" x14ac:dyDescent="0.2">
      <c r="A265" s="1" t="s">
        <v>23</v>
      </c>
      <c r="C265" s="1" t="s">
        <v>742</v>
      </c>
      <c r="E265" s="76">
        <v>4272.7299999999996</v>
      </c>
      <c r="F265" s="76"/>
      <c r="G265" s="76">
        <v>0</v>
      </c>
      <c r="H265" s="76"/>
      <c r="I265" s="76">
        <v>11248.7</v>
      </c>
      <c r="J265" s="76"/>
      <c r="K265" s="76">
        <v>0</v>
      </c>
      <c r="L265" s="76"/>
      <c r="M265" s="76">
        <v>0</v>
      </c>
      <c r="N265" s="76"/>
      <c r="O265" s="76">
        <v>11411.99</v>
      </c>
      <c r="P265" s="76"/>
      <c r="Q265" s="76">
        <v>555</v>
      </c>
      <c r="R265" s="76"/>
      <c r="S265" s="76">
        <v>15400.72</v>
      </c>
      <c r="T265" s="76"/>
      <c r="U265" s="76">
        <v>0</v>
      </c>
      <c r="V265" s="76"/>
      <c r="W265" s="76">
        <v>0</v>
      </c>
      <c r="X265" s="76"/>
      <c r="Y265" s="76">
        <v>0</v>
      </c>
      <c r="Z265" s="76"/>
      <c r="AA265" s="76">
        <v>0</v>
      </c>
      <c r="AB265" s="76"/>
      <c r="AC265" s="76">
        <v>0</v>
      </c>
      <c r="AD265" s="76"/>
      <c r="AE265" s="76">
        <v>0</v>
      </c>
      <c r="AF265" s="76"/>
      <c r="AG265" s="76">
        <v>0</v>
      </c>
      <c r="AH265"/>
      <c r="AI265" s="76">
        <f t="shared" si="3"/>
        <v>42889.14</v>
      </c>
      <c r="AJ265" s="10"/>
      <c r="AK265" s="22"/>
      <c r="AL265" s="22"/>
      <c r="AM265" s="22"/>
    </row>
    <row r="266" spans="1:39" s="21" customFormat="1" ht="12" customHeight="1" x14ac:dyDescent="0.2">
      <c r="A266" s="1" t="s">
        <v>924</v>
      </c>
      <c r="B266" s="1"/>
      <c r="C266" s="1" t="s">
        <v>407</v>
      </c>
      <c r="D266" s="1"/>
      <c r="E266" s="76">
        <v>8341.99</v>
      </c>
      <c r="F266" s="76"/>
      <c r="G266" s="76">
        <v>87143.39</v>
      </c>
      <c r="H266" s="76"/>
      <c r="I266" s="76">
        <v>27767.58</v>
      </c>
      <c r="J266" s="76"/>
      <c r="K266" s="76">
        <v>0</v>
      </c>
      <c r="L266" s="76"/>
      <c r="M266" s="76">
        <v>13177.78</v>
      </c>
      <c r="N266" s="76"/>
      <c r="O266" s="76">
        <v>2493.5500000000002</v>
      </c>
      <c r="P266" s="76"/>
      <c r="Q266" s="76">
        <v>799.57</v>
      </c>
      <c r="R266" s="76"/>
      <c r="S266" s="76">
        <v>17977.8</v>
      </c>
      <c r="T266" s="76"/>
      <c r="U266" s="76">
        <v>0</v>
      </c>
      <c r="V266" s="76"/>
      <c r="W266" s="76">
        <v>0</v>
      </c>
      <c r="X266" s="76"/>
      <c r="Y266" s="76">
        <v>0</v>
      </c>
      <c r="Z266" s="76"/>
      <c r="AA266" s="76">
        <v>0</v>
      </c>
      <c r="AB266" s="76"/>
      <c r="AC266" s="76">
        <v>0</v>
      </c>
      <c r="AD266" s="76"/>
      <c r="AE266" s="76">
        <v>0</v>
      </c>
      <c r="AF266" s="76"/>
      <c r="AG266" s="76">
        <v>0</v>
      </c>
      <c r="AH266"/>
      <c r="AI266" s="76">
        <f t="shared" si="3"/>
        <v>157701.66</v>
      </c>
      <c r="AJ266" s="10"/>
      <c r="AK266" s="22"/>
      <c r="AL266" s="22"/>
      <c r="AM266" s="22"/>
    </row>
    <row r="267" spans="1:39" s="21" customFormat="1" ht="12" customHeight="1" x14ac:dyDescent="0.2">
      <c r="A267" s="1" t="s">
        <v>126</v>
      </c>
      <c r="B267" s="1"/>
      <c r="C267" s="1" t="s">
        <v>773</v>
      </c>
      <c r="D267" s="1"/>
      <c r="E267" s="76">
        <v>3800.45</v>
      </c>
      <c r="F267" s="76"/>
      <c r="G267" s="76">
        <v>0</v>
      </c>
      <c r="H267" s="76"/>
      <c r="I267" s="76">
        <v>12274.81</v>
      </c>
      <c r="J267" s="76"/>
      <c r="K267" s="76">
        <v>0</v>
      </c>
      <c r="L267" s="76"/>
      <c r="M267" s="76">
        <v>0</v>
      </c>
      <c r="N267" s="76"/>
      <c r="O267" s="76">
        <v>268777.83</v>
      </c>
      <c r="P267" s="76"/>
      <c r="Q267" s="76">
        <v>55.38</v>
      </c>
      <c r="R267" s="76"/>
      <c r="S267" s="76">
        <v>5049.62</v>
      </c>
      <c r="T267" s="76"/>
      <c r="U267" s="76">
        <v>0</v>
      </c>
      <c r="V267" s="76"/>
      <c r="W267" s="76">
        <v>0</v>
      </c>
      <c r="X267" s="76"/>
      <c r="Y267" s="76">
        <v>0</v>
      </c>
      <c r="Z267" s="76"/>
      <c r="AA267" s="76">
        <v>0</v>
      </c>
      <c r="AB267" s="76"/>
      <c r="AC267" s="76">
        <v>0</v>
      </c>
      <c r="AD267" s="76"/>
      <c r="AE267" s="76">
        <v>976</v>
      </c>
      <c r="AF267" s="76"/>
      <c r="AG267" s="76">
        <v>18971</v>
      </c>
      <c r="AH267"/>
      <c r="AI267" s="76">
        <f t="shared" si="3"/>
        <v>309905.09000000003</v>
      </c>
      <c r="AJ267" s="10"/>
      <c r="AK267" s="1"/>
      <c r="AL267" s="1"/>
      <c r="AM267" s="1"/>
    </row>
    <row r="268" spans="1:39" s="10" customFormat="1" ht="12" customHeight="1" x14ac:dyDescent="0.2">
      <c r="A268" s="1" t="s">
        <v>820</v>
      </c>
      <c r="B268" s="1"/>
      <c r="C268" s="1" t="s">
        <v>439</v>
      </c>
      <c r="D268" s="1"/>
      <c r="E268" s="76">
        <v>50412.91</v>
      </c>
      <c r="F268" s="76"/>
      <c r="G268" s="76">
        <v>0</v>
      </c>
      <c r="H268" s="76"/>
      <c r="I268" s="76">
        <v>21906.74</v>
      </c>
      <c r="J268" s="76"/>
      <c r="K268" s="76">
        <v>0</v>
      </c>
      <c r="L268" s="76"/>
      <c r="M268" s="76">
        <v>0</v>
      </c>
      <c r="N268" s="76"/>
      <c r="O268" s="76">
        <v>12820.51</v>
      </c>
      <c r="P268" s="76"/>
      <c r="Q268" s="76">
        <v>154.63999999999999</v>
      </c>
      <c r="R268" s="76"/>
      <c r="S268" s="76">
        <v>3125</v>
      </c>
      <c r="T268" s="76"/>
      <c r="U268" s="76">
        <v>0</v>
      </c>
      <c r="V268" s="76"/>
      <c r="W268" s="76">
        <v>0</v>
      </c>
      <c r="X268" s="76"/>
      <c r="Y268" s="76">
        <v>0</v>
      </c>
      <c r="Z268" s="76"/>
      <c r="AA268" s="76">
        <v>0</v>
      </c>
      <c r="AB268" s="76"/>
      <c r="AC268" s="76">
        <v>0</v>
      </c>
      <c r="AD268" s="76"/>
      <c r="AE268" s="76">
        <v>0</v>
      </c>
      <c r="AF268" s="76"/>
      <c r="AG268" s="76">
        <v>0</v>
      </c>
      <c r="AH268" s="81"/>
      <c r="AI268" s="76">
        <f t="shared" si="3"/>
        <v>88419.8</v>
      </c>
      <c r="AK268" s="21"/>
      <c r="AL268" s="21"/>
      <c r="AM268" s="21"/>
    </row>
    <row r="269" spans="1:39" ht="12" customHeight="1" x14ac:dyDescent="0.2">
      <c r="A269" s="1" t="s">
        <v>42</v>
      </c>
      <c r="C269" s="1" t="s">
        <v>749</v>
      </c>
      <c r="E269" s="76">
        <v>15188.81</v>
      </c>
      <c r="F269" s="76"/>
      <c r="G269" s="76">
        <v>0</v>
      </c>
      <c r="H269" s="76"/>
      <c r="I269" s="76">
        <v>20028.66</v>
      </c>
      <c r="J269" s="76"/>
      <c r="K269" s="76">
        <v>0</v>
      </c>
      <c r="L269" s="76"/>
      <c r="M269" s="76">
        <v>0</v>
      </c>
      <c r="N269" s="76"/>
      <c r="O269" s="76">
        <v>5240</v>
      </c>
      <c r="P269" s="76"/>
      <c r="Q269" s="76">
        <v>30.8</v>
      </c>
      <c r="R269" s="76"/>
      <c r="S269" s="76">
        <v>35720.92</v>
      </c>
      <c r="T269" s="76"/>
      <c r="U269" s="76">
        <v>0</v>
      </c>
      <c r="V269" s="76"/>
      <c r="W269" s="76">
        <v>0</v>
      </c>
      <c r="X269" s="76"/>
      <c r="Y269" s="76">
        <v>0</v>
      </c>
      <c r="Z269" s="76"/>
      <c r="AA269" s="76">
        <v>0</v>
      </c>
      <c r="AB269" s="76"/>
      <c r="AC269" s="76">
        <v>0</v>
      </c>
      <c r="AD269" s="76"/>
      <c r="AE269" s="76">
        <v>0</v>
      </c>
      <c r="AF269" s="76"/>
      <c r="AG269" s="76">
        <v>0</v>
      </c>
      <c r="AH269" s="81"/>
      <c r="AI269" s="76">
        <f t="shared" si="3"/>
        <v>76209.19</v>
      </c>
      <c r="AJ269" s="10"/>
      <c r="AK269" s="22"/>
      <c r="AL269" s="22"/>
      <c r="AM269" s="22"/>
    </row>
    <row r="270" spans="1:39" ht="12" customHeight="1" x14ac:dyDescent="0.2">
      <c r="A270" s="1" t="s">
        <v>140</v>
      </c>
      <c r="C270" s="1" t="s">
        <v>777</v>
      </c>
      <c r="E270" s="76">
        <v>3573.09</v>
      </c>
      <c r="F270" s="76"/>
      <c r="G270" s="76">
        <v>0</v>
      </c>
      <c r="H270" s="76"/>
      <c r="I270" s="76">
        <v>5477.96</v>
      </c>
      <c r="J270" s="76"/>
      <c r="K270" s="76">
        <v>0</v>
      </c>
      <c r="L270" s="76"/>
      <c r="M270" s="76">
        <v>0</v>
      </c>
      <c r="N270" s="76"/>
      <c r="O270" s="76">
        <v>544.89</v>
      </c>
      <c r="P270" s="76"/>
      <c r="Q270" s="76">
        <v>0</v>
      </c>
      <c r="R270" s="76"/>
      <c r="S270" s="76">
        <v>26717.439999999999</v>
      </c>
      <c r="T270" s="76"/>
      <c r="U270" s="76">
        <v>0</v>
      </c>
      <c r="V270" s="76"/>
      <c r="W270" s="76">
        <v>0</v>
      </c>
      <c r="X270" s="76"/>
      <c r="Y270" s="76">
        <v>0</v>
      </c>
      <c r="Z270" s="76"/>
      <c r="AA270" s="76">
        <v>0</v>
      </c>
      <c r="AB270" s="76"/>
      <c r="AC270" s="76">
        <v>0</v>
      </c>
      <c r="AD270" s="76"/>
      <c r="AE270" s="76">
        <v>0</v>
      </c>
      <c r="AF270" s="76"/>
      <c r="AG270" s="76">
        <v>0</v>
      </c>
      <c r="AH270" s="81"/>
      <c r="AI270" s="76">
        <f t="shared" si="3"/>
        <v>36313.379999999997</v>
      </c>
      <c r="AJ270" s="10"/>
      <c r="AK270" s="21"/>
      <c r="AL270" s="21"/>
      <c r="AM270" s="21"/>
    </row>
    <row r="271" spans="1:39" ht="12" customHeight="1" x14ac:dyDescent="0.2">
      <c r="A271" s="1" t="s">
        <v>264</v>
      </c>
      <c r="C271" s="1" t="s">
        <v>814</v>
      </c>
      <c r="E271" s="76">
        <v>14210.16</v>
      </c>
      <c r="F271" s="76"/>
      <c r="G271" s="76">
        <v>0</v>
      </c>
      <c r="H271" s="76"/>
      <c r="I271" s="76">
        <v>6346.83</v>
      </c>
      <c r="J271" s="76"/>
      <c r="K271" s="76">
        <v>0</v>
      </c>
      <c r="L271" s="76"/>
      <c r="M271" s="76">
        <v>0</v>
      </c>
      <c r="N271" s="76"/>
      <c r="O271" s="76">
        <v>0</v>
      </c>
      <c r="P271" s="76"/>
      <c r="Q271" s="76">
        <v>20.68</v>
      </c>
      <c r="R271" s="76"/>
      <c r="S271" s="76">
        <v>3994.25</v>
      </c>
      <c r="T271" s="76"/>
      <c r="U271" s="76">
        <v>0</v>
      </c>
      <c r="V271" s="76"/>
      <c r="W271" s="76">
        <v>0</v>
      </c>
      <c r="X271" s="76"/>
      <c r="Y271" s="76">
        <v>0</v>
      </c>
      <c r="Z271" s="76"/>
      <c r="AA271" s="76">
        <v>0</v>
      </c>
      <c r="AB271" s="76"/>
      <c r="AC271" s="76">
        <v>0</v>
      </c>
      <c r="AD271" s="76"/>
      <c r="AE271" s="76">
        <v>0</v>
      </c>
      <c r="AF271" s="76"/>
      <c r="AG271" s="76">
        <v>0</v>
      </c>
      <c r="AH271" s="81"/>
      <c r="AI271" s="76">
        <f t="shared" si="3"/>
        <v>24571.919999999998</v>
      </c>
      <c r="AJ271" s="10"/>
    </row>
    <row r="272" spans="1:39" ht="12" customHeight="1" x14ac:dyDescent="0.2">
      <c r="A272" s="1" t="s">
        <v>925</v>
      </c>
      <c r="C272" s="1" t="s">
        <v>353</v>
      </c>
      <c r="E272" s="76">
        <v>4752.0200000000004</v>
      </c>
      <c r="F272" s="76"/>
      <c r="G272" s="76">
        <v>55239.17</v>
      </c>
      <c r="H272" s="76"/>
      <c r="I272" s="76">
        <v>26860.36</v>
      </c>
      <c r="J272" s="76"/>
      <c r="K272" s="76">
        <v>0</v>
      </c>
      <c r="L272" s="76"/>
      <c r="M272" s="76">
        <v>1075</v>
      </c>
      <c r="N272" s="76"/>
      <c r="O272" s="76">
        <v>12550.49</v>
      </c>
      <c r="P272" s="76"/>
      <c r="Q272" s="76">
        <v>97.35</v>
      </c>
      <c r="R272" s="76"/>
      <c r="S272" s="76">
        <v>853.7</v>
      </c>
      <c r="T272" s="76"/>
      <c r="U272" s="76">
        <v>0</v>
      </c>
      <c r="V272" s="76"/>
      <c r="W272" s="76">
        <v>0</v>
      </c>
      <c r="X272" s="76"/>
      <c r="Y272" s="76">
        <v>0</v>
      </c>
      <c r="Z272" s="76"/>
      <c r="AA272" s="76">
        <v>0</v>
      </c>
      <c r="AB272" s="76"/>
      <c r="AC272" s="76">
        <v>0</v>
      </c>
      <c r="AD272" s="76"/>
      <c r="AE272" s="76">
        <v>0</v>
      </c>
      <c r="AF272" s="76"/>
      <c r="AG272" s="76">
        <v>0</v>
      </c>
      <c r="AH272" s="81"/>
      <c r="AI272" s="76">
        <f t="shared" si="3"/>
        <v>101428.09000000001</v>
      </c>
      <c r="AJ272" s="10"/>
    </row>
    <row r="273" spans="1:39" ht="12" customHeight="1" x14ac:dyDescent="0.2">
      <c r="A273" s="1" t="s">
        <v>832</v>
      </c>
      <c r="C273" s="1" t="s">
        <v>765</v>
      </c>
      <c r="E273" s="76">
        <v>13059.21</v>
      </c>
      <c r="F273" s="76"/>
      <c r="G273" s="76">
        <v>0</v>
      </c>
      <c r="H273" s="76"/>
      <c r="I273" s="76">
        <v>19066.71</v>
      </c>
      <c r="J273" s="76"/>
      <c r="K273" s="76">
        <v>0</v>
      </c>
      <c r="L273" s="76"/>
      <c r="M273" s="76">
        <v>1137.57</v>
      </c>
      <c r="N273" s="76"/>
      <c r="O273" s="76">
        <v>0</v>
      </c>
      <c r="P273" s="76"/>
      <c r="Q273" s="76">
        <v>8.99</v>
      </c>
      <c r="R273" s="76"/>
      <c r="S273" s="76">
        <v>2488.4699999999998</v>
      </c>
      <c r="T273" s="76"/>
      <c r="U273" s="76">
        <v>0</v>
      </c>
      <c r="V273" s="76"/>
      <c r="W273" s="76">
        <v>0</v>
      </c>
      <c r="X273" s="76"/>
      <c r="Y273" s="76">
        <v>0</v>
      </c>
      <c r="Z273" s="76"/>
      <c r="AA273" s="76">
        <v>0</v>
      </c>
      <c r="AB273" s="76"/>
      <c r="AC273" s="76">
        <v>0</v>
      </c>
      <c r="AD273" s="76"/>
      <c r="AE273" s="76">
        <v>0</v>
      </c>
      <c r="AF273" s="76"/>
      <c r="AG273" s="76">
        <v>0</v>
      </c>
      <c r="AH273" s="81"/>
      <c r="AI273" s="76">
        <f t="shared" si="3"/>
        <v>35760.949999999997</v>
      </c>
      <c r="AJ273" s="10"/>
      <c r="AK273" s="21"/>
      <c r="AL273" s="21"/>
      <c r="AM273" s="21"/>
    </row>
    <row r="274" spans="1:39" ht="12" customHeight="1" x14ac:dyDescent="0.2">
      <c r="A274" s="1" t="s">
        <v>4</v>
      </c>
      <c r="C274" s="1" t="s">
        <v>737</v>
      </c>
      <c r="E274" s="76">
        <v>27084.52</v>
      </c>
      <c r="F274" s="76"/>
      <c r="G274" s="76">
        <v>16361.37</v>
      </c>
      <c r="H274" s="76"/>
      <c r="I274" s="76">
        <v>16986.310000000001</v>
      </c>
      <c r="J274" s="76"/>
      <c r="K274" s="76">
        <v>0</v>
      </c>
      <c r="L274" s="76"/>
      <c r="M274" s="76">
        <v>0</v>
      </c>
      <c r="N274" s="76"/>
      <c r="O274" s="76">
        <v>85</v>
      </c>
      <c r="P274" s="76"/>
      <c r="Q274" s="76">
        <v>0.97</v>
      </c>
      <c r="R274" s="76"/>
      <c r="S274" s="76">
        <v>1441.12</v>
      </c>
      <c r="T274" s="76"/>
      <c r="U274" s="76">
        <v>0</v>
      </c>
      <c r="V274" s="76"/>
      <c r="W274" s="76">
        <v>0</v>
      </c>
      <c r="X274" s="76"/>
      <c r="Y274" s="76">
        <v>0</v>
      </c>
      <c r="Z274" s="76"/>
      <c r="AA274" s="76">
        <v>0</v>
      </c>
      <c r="AB274" s="76"/>
      <c r="AC274" s="76">
        <v>0</v>
      </c>
      <c r="AD274" s="76"/>
      <c r="AE274" s="76">
        <v>0</v>
      </c>
      <c r="AF274" s="76"/>
      <c r="AG274" s="76">
        <v>0</v>
      </c>
      <c r="AH274" s="81"/>
      <c r="AI274" s="76">
        <f t="shared" ref="AI274:AI339" si="4">SUM(E274:AG274)</f>
        <v>61959.29</v>
      </c>
      <c r="AJ274" s="10"/>
      <c r="AK274" s="7"/>
      <c r="AL274" s="7"/>
      <c r="AM274" s="7"/>
    </row>
    <row r="275" spans="1:39" ht="12" customHeight="1" x14ac:dyDescent="0.2">
      <c r="A275" s="1" t="s">
        <v>441</v>
      </c>
      <c r="C275" s="1" t="s">
        <v>439</v>
      </c>
      <c r="E275" s="76">
        <v>13421</v>
      </c>
      <c r="F275" s="76"/>
      <c r="G275" s="76">
        <v>0</v>
      </c>
      <c r="H275" s="76"/>
      <c r="I275" s="76">
        <v>19713</v>
      </c>
      <c r="J275" s="76"/>
      <c r="K275" s="76">
        <v>0</v>
      </c>
      <c r="L275" s="76"/>
      <c r="M275" s="76">
        <v>0</v>
      </c>
      <c r="N275" s="76"/>
      <c r="O275" s="76">
        <v>2814</v>
      </c>
      <c r="P275" s="76"/>
      <c r="Q275" s="76">
        <v>0</v>
      </c>
      <c r="R275" s="76"/>
      <c r="S275" s="76">
        <v>4426</v>
      </c>
      <c r="T275" s="76"/>
      <c r="U275" s="76">
        <v>0</v>
      </c>
      <c r="V275" s="76"/>
      <c r="W275" s="76">
        <v>0</v>
      </c>
      <c r="X275" s="76"/>
      <c r="Y275" s="76">
        <v>0</v>
      </c>
      <c r="Z275" s="76"/>
      <c r="AA275" s="76">
        <v>0</v>
      </c>
      <c r="AB275" s="76"/>
      <c r="AC275" s="76">
        <v>0</v>
      </c>
      <c r="AD275" s="76"/>
      <c r="AE275" s="76">
        <v>0</v>
      </c>
      <c r="AF275" s="76"/>
      <c r="AG275" s="76">
        <v>0</v>
      </c>
      <c r="AH275" s="76"/>
      <c r="AI275" s="76">
        <f t="shared" si="4"/>
        <v>40374</v>
      </c>
      <c r="AJ275" s="10"/>
      <c r="AK275" s="21"/>
      <c r="AL275" s="21"/>
      <c r="AM275" s="21"/>
    </row>
    <row r="276" spans="1:39" ht="12" customHeight="1" x14ac:dyDescent="0.2">
      <c r="A276" s="1" t="s">
        <v>543</v>
      </c>
      <c r="C276" s="1" t="s">
        <v>540</v>
      </c>
      <c r="E276" s="76">
        <v>122330</v>
      </c>
      <c r="F276" s="76"/>
      <c r="G276" s="76">
        <v>911269</v>
      </c>
      <c r="H276" s="76"/>
      <c r="I276" s="76">
        <v>101714</v>
      </c>
      <c r="J276" s="76"/>
      <c r="K276" s="76">
        <v>0</v>
      </c>
      <c r="L276" s="76"/>
      <c r="M276" s="76">
        <v>2655</v>
      </c>
      <c r="N276" s="76"/>
      <c r="O276" s="76">
        <v>68634</v>
      </c>
      <c r="P276" s="76"/>
      <c r="Q276" s="76">
        <v>288</v>
      </c>
      <c r="R276" s="76"/>
      <c r="S276" s="76">
        <v>5982</v>
      </c>
      <c r="T276" s="76"/>
      <c r="U276" s="76">
        <v>0</v>
      </c>
      <c r="V276" s="76"/>
      <c r="W276" s="76">
        <v>0</v>
      </c>
      <c r="X276" s="76"/>
      <c r="Y276" s="76">
        <v>2859</v>
      </c>
      <c r="Z276" s="76"/>
      <c r="AA276" s="76">
        <v>36678</v>
      </c>
      <c r="AB276" s="76"/>
      <c r="AC276" s="76">
        <v>55274</v>
      </c>
      <c r="AD276" s="76"/>
      <c r="AE276" s="76">
        <v>0</v>
      </c>
      <c r="AF276" s="76"/>
      <c r="AG276" s="76">
        <v>0</v>
      </c>
      <c r="AH276" s="76"/>
      <c r="AI276" s="76">
        <f t="shared" si="4"/>
        <v>1307683</v>
      </c>
      <c r="AJ276" s="10"/>
      <c r="AK276" s="15"/>
      <c r="AL276" s="15"/>
      <c r="AM276" s="15"/>
    </row>
    <row r="277" spans="1:39" ht="12" customHeight="1" x14ac:dyDescent="0.2">
      <c r="A277" s="1" t="s">
        <v>580</v>
      </c>
      <c r="C277" s="1" t="s">
        <v>581</v>
      </c>
      <c r="E277" s="76">
        <v>40476.199999999997</v>
      </c>
      <c r="F277" s="76"/>
      <c r="G277" s="76">
        <v>0</v>
      </c>
      <c r="H277" s="76"/>
      <c r="I277" s="76">
        <v>17217.96</v>
      </c>
      <c r="J277" s="76"/>
      <c r="K277" s="76">
        <v>0</v>
      </c>
      <c r="L277" s="76"/>
      <c r="M277" s="76">
        <v>64911.28</v>
      </c>
      <c r="N277" s="76"/>
      <c r="O277" s="76">
        <v>80750.11</v>
      </c>
      <c r="P277" s="76"/>
      <c r="Q277" s="76">
        <v>299.39</v>
      </c>
      <c r="R277" s="76"/>
      <c r="S277" s="76">
        <v>36052.43</v>
      </c>
      <c r="T277" s="76"/>
      <c r="U277" s="76">
        <v>0</v>
      </c>
      <c r="V277" s="76"/>
      <c r="W277" s="76">
        <v>0</v>
      </c>
      <c r="X277" s="76"/>
      <c r="Y277" s="76">
        <v>0</v>
      </c>
      <c r="Z277" s="76"/>
      <c r="AA277" s="76">
        <v>0</v>
      </c>
      <c r="AB277" s="76"/>
      <c r="AC277" s="76">
        <v>0</v>
      </c>
      <c r="AD277" s="76"/>
      <c r="AE277" s="76">
        <v>0</v>
      </c>
      <c r="AF277" s="76"/>
      <c r="AG277" s="76">
        <v>0</v>
      </c>
      <c r="AH277"/>
      <c r="AI277" s="76">
        <f t="shared" si="4"/>
        <v>239707.37</v>
      </c>
      <c r="AJ277" s="10"/>
    </row>
    <row r="278" spans="1:39" ht="12" customHeight="1" x14ac:dyDescent="0.2">
      <c r="A278" s="36" t="s">
        <v>256</v>
      </c>
      <c r="B278" s="36"/>
      <c r="C278" s="36" t="s">
        <v>813</v>
      </c>
      <c r="D278" s="36"/>
      <c r="E278" s="76">
        <v>84868.99</v>
      </c>
      <c r="F278" s="76"/>
      <c r="G278" s="76">
        <v>0</v>
      </c>
      <c r="H278" s="76"/>
      <c r="I278" s="76">
        <v>16049.34</v>
      </c>
      <c r="J278" s="76"/>
      <c r="K278" s="76">
        <v>0</v>
      </c>
      <c r="L278" s="76"/>
      <c r="M278" s="76">
        <v>0</v>
      </c>
      <c r="N278" s="76"/>
      <c r="O278" s="76">
        <v>9607.08</v>
      </c>
      <c r="P278" s="76"/>
      <c r="Q278" s="76">
        <v>936.12</v>
      </c>
      <c r="R278" s="76"/>
      <c r="S278" s="76">
        <v>317.98</v>
      </c>
      <c r="T278" s="76"/>
      <c r="U278" s="76">
        <v>0</v>
      </c>
      <c r="V278" s="76"/>
      <c r="W278" s="76">
        <v>0</v>
      </c>
      <c r="X278" s="76"/>
      <c r="Y278" s="76">
        <v>3000</v>
      </c>
      <c r="Z278" s="76"/>
      <c r="AA278" s="76">
        <v>141542</v>
      </c>
      <c r="AB278" s="76"/>
      <c r="AC278" s="76">
        <v>10000</v>
      </c>
      <c r="AD278" s="76"/>
      <c r="AE278" s="76">
        <v>0</v>
      </c>
      <c r="AF278" s="76"/>
      <c r="AG278" s="76">
        <v>0</v>
      </c>
      <c r="AH278"/>
      <c r="AI278" s="76">
        <f t="shared" si="4"/>
        <v>266321.51</v>
      </c>
      <c r="AJ278" s="36"/>
      <c r="AK278" s="36"/>
      <c r="AL278" s="36"/>
      <c r="AM278" s="36"/>
    </row>
    <row r="279" spans="1:39" ht="12" customHeight="1" x14ac:dyDescent="0.2">
      <c r="A279" s="1" t="s">
        <v>183</v>
      </c>
      <c r="C279" s="1" t="s">
        <v>792</v>
      </c>
      <c r="E279" s="76">
        <v>12205.11</v>
      </c>
      <c r="F279" s="76"/>
      <c r="G279" s="76">
        <v>0</v>
      </c>
      <c r="H279" s="76"/>
      <c r="I279" s="76">
        <v>24004.06</v>
      </c>
      <c r="J279" s="76"/>
      <c r="K279" s="76">
        <v>0</v>
      </c>
      <c r="L279" s="76"/>
      <c r="M279" s="76">
        <v>0</v>
      </c>
      <c r="N279" s="76"/>
      <c r="O279" s="76">
        <v>0</v>
      </c>
      <c r="P279" s="76"/>
      <c r="Q279" s="76">
        <v>369.97</v>
      </c>
      <c r="R279" s="76"/>
      <c r="S279" s="76">
        <v>125</v>
      </c>
      <c r="T279" s="76"/>
      <c r="U279" s="76">
        <v>0</v>
      </c>
      <c r="V279" s="76"/>
      <c r="W279" s="76">
        <v>0</v>
      </c>
      <c r="X279" s="76"/>
      <c r="Y279" s="76">
        <v>0</v>
      </c>
      <c r="Z279" s="76"/>
      <c r="AA279" s="76">
        <v>0</v>
      </c>
      <c r="AB279" s="76"/>
      <c r="AC279" s="76">
        <v>0</v>
      </c>
      <c r="AD279" s="76"/>
      <c r="AE279" s="76">
        <v>0</v>
      </c>
      <c r="AF279" s="76"/>
      <c r="AG279" s="76">
        <v>0</v>
      </c>
      <c r="AH279" s="81"/>
      <c r="AI279" s="76">
        <f t="shared" si="4"/>
        <v>36704.14</v>
      </c>
      <c r="AJ279" s="10"/>
    </row>
    <row r="280" spans="1:39" ht="12" customHeight="1" x14ac:dyDescent="0.2">
      <c r="A280" s="1" t="s">
        <v>7</v>
      </c>
      <c r="C280" s="1" t="s">
        <v>666</v>
      </c>
      <c r="E280" s="76">
        <v>23522.11</v>
      </c>
      <c r="F280" s="76"/>
      <c r="G280" s="76">
        <v>0</v>
      </c>
      <c r="H280" s="76"/>
      <c r="I280" s="76">
        <v>25947.3</v>
      </c>
      <c r="J280" s="76"/>
      <c r="K280" s="76">
        <v>0</v>
      </c>
      <c r="L280" s="76"/>
      <c r="M280" s="76">
        <v>8353.2000000000007</v>
      </c>
      <c r="N280" s="76"/>
      <c r="O280" s="76">
        <v>238</v>
      </c>
      <c r="P280" s="76"/>
      <c r="Q280" s="76">
        <v>260.87</v>
      </c>
      <c r="R280" s="76"/>
      <c r="S280" s="76">
        <v>434.15</v>
      </c>
      <c r="T280" s="76"/>
      <c r="U280" s="76">
        <v>0</v>
      </c>
      <c r="V280" s="76"/>
      <c r="W280" s="76">
        <v>0</v>
      </c>
      <c r="X280" s="76"/>
      <c r="Y280" s="76">
        <v>0</v>
      </c>
      <c r="Z280" s="76"/>
      <c r="AA280" s="76">
        <v>0</v>
      </c>
      <c r="AB280" s="76"/>
      <c r="AC280" s="76">
        <v>0</v>
      </c>
      <c r="AD280" s="76"/>
      <c r="AE280" s="76">
        <v>0</v>
      </c>
      <c r="AF280" s="76"/>
      <c r="AG280" s="76">
        <v>0</v>
      </c>
      <c r="AH280"/>
      <c r="AI280" s="76">
        <f t="shared" si="4"/>
        <v>58755.630000000005</v>
      </c>
      <c r="AJ280" s="10"/>
      <c r="AK280" s="7"/>
      <c r="AL280" s="7"/>
      <c r="AM280" s="7"/>
    </row>
    <row r="281" spans="1:39" s="21" customFormat="1" ht="12" customHeight="1" x14ac:dyDescent="0.2">
      <c r="A281" s="1" t="s">
        <v>442</v>
      </c>
      <c r="B281" s="1"/>
      <c r="C281" s="1" t="s">
        <v>439</v>
      </c>
      <c r="D281" s="1"/>
      <c r="E281" s="76">
        <v>118168.74</v>
      </c>
      <c r="F281" s="76"/>
      <c r="G281" s="76">
        <v>1392476.8</v>
      </c>
      <c r="H281" s="76"/>
      <c r="I281" s="76">
        <v>148675.66</v>
      </c>
      <c r="J281" s="76"/>
      <c r="K281" s="76">
        <v>0</v>
      </c>
      <c r="L281" s="76"/>
      <c r="M281" s="76">
        <v>154347.96</v>
      </c>
      <c r="N281" s="76"/>
      <c r="O281" s="76">
        <v>15198.45</v>
      </c>
      <c r="P281" s="76"/>
      <c r="Q281" s="76">
        <v>13534.28</v>
      </c>
      <c r="R281" s="76"/>
      <c r="S281" s="76">
        <v>9368.33</v>
      </c>
      <c r="T281" s="76"/>
      <c r="U281" s="76">
        <v>0</v>
      </c>
      <c r="V281" s="76"/>
      <c r="W281" s="76">
        <v>0</v>
      </c>
      <c r="X281" s="76"/>
      <c r="Y281" s="76">
        <v>0</v>
      </c>
      <c r="Z281" s="76"/>
      <c r="AA281" s="76">
        <v>0</v>
      </c>
      <c r="AB281" s="76"/>
      <c r="AC281" s="76">
        <v>0</v>
      </c>
      <c r="AD281" s="76"/>
      <c r="AE281" s="76">
        <v>0</v>
      </c>
      <c r="AF281" s="76"/>
      <c r="AG281" s="76">
        <v>0</v>
      </c>
      <c r="AH281"/>
      <c r="AI281" s="76">
        <f t="shared" si="4"/>
        <v>1851770.22</v>
      </c>
      <c r="AJ281" s="10"/>
      <c r="AK281" s="1"/>
      <c r="AL281" s="1"/>
      <c r="AM281" s="1"/>
    </row>
    <row r="282" spans="1:39" ht="12" customHeight="1" x14ac:dyDescent="0.2">
      <c r="A282" s="1" t="s">
        <v>214</v>
      </c>
      <c r="C282" s="1" t="s">
        <v>800</v>
      </c>
      <c r="E282" s="76">
        <v>28979.62</v>
      </c>
      <c r="F282" s="76"/>
      <c r="G282" s="76">
        <v>0</v>
      </c>
      <c r="H282" s="76"/>
      <c r="I282" s="76">
        <v>10822.41</v>
      </c>
      <c r="J282" s="76"/>
      <c r="K282" s="76">
        <v>0</v>
      </c>
      <c r="L282" s="76"/>
      <c r="M282" s="76">
        <v>15201.5</v>
      </c>
      <c r="N282" s="76"/>
      <c r="O282" s="76">
        <v>0</v>
      </c>
      <c r="P282" s="76"/>
      <c r="Q282" s="76">
        <v>158.47</v>
      </c>
      <c r="R282" s="76"/>
      <c r="S282" s="76">
        <v>68</v>
      </c>
      <c r="T282" s="76"/>
      <c r="U282" s="76">
        <v>0</v>
      </c>
      <c r="V282" s="76"/>
      <c r="W282" s="76">
        <v>0</v>
      </c>
      <c r="X282" s="76"/>
      <c r="Y282" s="76">
        <v>0</v>
      </c>
      <c r="Z282" s="76"/>
      <c r="AA282" s="76">
        <v>0</v>
      </c>
      <c r="AB282" s="76"/>
      <c r="AC282" s="76">
        <v>0</v>
      </c>
      <c r="AD282" s="76"/>
      <c r="AE282" s="76">
        <v>0</v>
      </c>
      <c r="AF282" s="76"/>
      <c r="AG282" s="76">
        <v>0</v>
      </c>
      <c r="AH282" s="81"/>
      <c r="AI282" s="76">
        <f t="shared" si="4"/>
        <v>55230</v>
      </c>
      <c r="AJ282" s="10"/>
    </row>
    <row r="283" spans="1:39" ht="12" hidden="1" customHeight="1" x14ac:dyDescent="0.2">
      <c r="A283" s="1" t="s">
        <v>888</v>
      </c>
      <c r="C283" s="1" t="s">
        <v>500</v>
      </c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81"/>
      <c r="AI283" s="76">
        <f t="shared" si="4"/>
        <v>0</v>
      </c>
      <c r="AJ283" s="10"/>
    </row>
    <row r="284" spans="1:39" ht="12" customHeight="1" x14ac:dyDescent="0.2">
      <c r="A284" s="1" t="s">
        <v>341</v>
      </c>
      <c r="C284" s="1" t="s">
        <v>342</v>
      </c>
      <c r="E284" s="76">
        <v>87375</v>
      </c>
      <c r="F284" s="76"/>
      <c r="G284" s="76">
        <v>1003180</v>
      </c>
      <c r="H284" s="76"/>
      <c r="I284" s="76">
        <v>171381</v>
      </c>
      <c r="J284" s="76"/>
      <c r="K284" s="76">
        <v>0</v>
      </c>
      <c r="L284" s="76"/>
      <c r="M284" s="76">
        <v>19947</v>
      </c>
      <c r="N284" s="76"/>
      <c r="O284" s="76">
        <v>21966</v>
      </c>
      <c r="P284" s="76"/>
      <c r="Q284" s="76">
        <v>31667</v>
      </c>
      <c r="R284" s="76"/>
      <c r="S284" s="76">
        <v>31116</v>
      </c>
      <c r="T284" s="76"/>
      <c r="U284" s="76">
        <v>0</v>
      </c>
      <c r="V284" s="76"/>
      <c r="W284" s="76">
        <v>0</v>
      </c>
      <c r="X284" s="76"/>
      <c r="Y284" s="76">
        <v>0</v>
      </c>
      <c r="Z284" s="76"/>
      <c r="AA284" s="76">
        <v>0</v>
      </c>
      <c r="AB284" s="76"/>
      <c r="AC284" s="76">
        <v>0</v>
      </c>
      <c r="AD284" s="76"/>
      <c r="AE284" s="76">
        <v>0</v>
      </c>
      <c r="AF284" s="76"/>
      <c r="AG284" s="76">
        <v>0</v>
      </c>
      <c r="AH284" s="76"/>
      <c r="AI284" s="76">
        <f t="shared" si="4"/>
        <v>1366632</v>
      </c>
      <c r="AJ284" s="10"/>
      <c r="AK284" s="7"/>
      <c r="AL284" s="7"/>
      <c r="AM284" s="7"/>
    </row>
    <row r="285" spans="1:39" ht="12" customHeight="1" x14ac:dyDescent="0.2">
      <c r="A285" s="1" t="s">
        <v>960</v>
      </c>
      <c r="C285" s="1" t="s">
        <v>742</v>
      </c>
      <c r="E285" s="76">
        <v>4113</v>
      </c>
      <c r="F285" s="76"/>
      <c r="G285" s="76">
        <v>0</v>
      </c>
      <c r="H285" s="76"/>
      <c r="I285" s="76">
        <v>6721</v>
      </c>
      <c r="J285" s="76"/>
      <c r="K285" s="76">
        <v>0</v>
      </c>
      <c r="L285" s="76"/>
      <c r="M285" s="76">
        <v>0</v>
      </c>
      <c r="N285" s="76"/>
      <c r="O285" s="76">
        <v>100</v>
      </c>
      <c r="P285" s="76"/>
      <c r="Q285" s="76">
        <v>0</v>
      </c>
      <c r="R285" s="76"/>
      <c r="S285" s="76">
        <v>2863</v>
      </c>
      <c r="T285" s="76"/>
      <c r="U285" s="76">
        <v>0</v>
      </c>
      <c r="V285" s="76"/>
      <c r="W285" s="76">
        <v>0</v>
      </c>
      <c r="X285" s="76"/>
      <c r="Y285" s="76">
        <v>0</v>
      </c>
      <c r="Z285" s="76"/>
      <c r="AA285" s="76">
        <v>0</v>
      </c>
      <c r="AB285" s="76"/>
      <c r="AC285" s="76">
        <v>0</v>
      </c>
      <c r="AD285" s="76"/>
      <c r="AE285" s="76">
        <v>0</v>
      </c>
      <c r="AF285" s="76"/>
      <c r="AG285" s="76">
        <v>0</v>
      </c>
      <c r="AH285" s="76"/>
      <c r="AI285" s="76">
        <f t="shared" si="4"/>
        <v>13797</v>
      </c>
      <c r="AJ285" s="10"/>
      <c r="AK285" s="7"/>
      <c r="AL285" s="7"/>
      <c r="AM285" s="7"/>
    </row>
    <row r="286" spans="1:39" ht="12" hidden="1" customHeight="1" x14ac:dyDescent="0.2">
      <c r="A286" s="1" t="s">
        <v>409</v>
      </c>
      <c r="C286" s="1" t="s">
        <v>409</v>
      </c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>
        <f t="shared" si="4"/>
        <v>0</v>
      </c>
      <c r="AJ286" s="10"/>
      <c r="AK286" s="7"/>
      <c r="AL286" s="7"/>
      <c r="AM286" s="7"/>
    </row>
    <row r="287" spans="1:39" ht="12" customHeight="1" x14ac:dyDescent="0.2">
      <c r="A287" s="1" t="s">
        <v>947</v>
      </c>
      <c r="C287" s="1" t="s">
        <v>316</v>
      </c>
      <c r="E287" s="76">
        <v>127393</v>
      </c>
      <c r="F287" s="76"/>
      <c r="G287" s="76">
        <v>3262250</v>
      </c>
      <c r="H287" s="76"/>
      <c r="I287" s="76">
        <v>79312</v>
      </c>
      <c r="J287" s="76"/>
      <c r="K287" s="76">
        <v>0</v>
      </c>
      <c r="L287" s="76"/>
      <c r="M287" s="76">
        <v>0</v>
      </c>
      <c r="N287" s="76"/>
      <c r="O287" s="76">
        <v>232560</v>
      </c>
      <c r="P287" s="76"/>
      <c r="Q287" s="76">
        <v>448</v>
      </c>
      <c r="R287" s="76"/>
      <c r="S287" s="76">
        <v>55928</v>
      </c>
      <c r="T287" s="76"/>
      <c r="U287" s="76">
        <v>0</v>
      </c>
      <c r="V287" s="76"/>
      <c r="W287" s="76">
        <v>0</v>
      </c>
      <c r="X287" s="76"/>
      <c r="Y287" s="76">
        <v>0</v>
      </c>
      <c r="Z287" s="76"/>
      <c r="AA287" s="76">
        <v>340000</v>
      </c>
      <c r="AB287" s="76"/>
      <c r="AC287" s="76">
        <v>0</v>
      </c>
      <c r="AD287" s="76"/>
      <c r="AE287" s="76">
        <v>0</v>
      </c>
      <c r="AF287" s="76"/>
      <c r="AG287" s="76">
        <v>0</v>
      </c>
      <c r="AH287" s="76"/>
      <c r="AI287" s="76">
        <f t="shared" si="4"/>
        <v>4097891</v>
      </c>
      <c r="AJ287" s="10"/>
      <c r="AK287" s="21"/>
      <c r="AL287" s="21"/>
      <c r="AM287" s="21"/>
    </row>
    <row r="288" spans="1:39" ht="12" customHeight="1" x14ac:dyDescent="0.2">
      <c r="A288" s="1" t="s">
        <v>225</v>
      </c>
      <c r="C288" s="1" t="s">
        <v>804</v>
      </c>
      <c r="E288" s="76">
        <v>0</v>
      </c>
      <c r="F288" s="76"/>
      <c r="G288" s="76">
        <v>0</v>
      </c>
      <c r="H288" s="76"/>
      <c r="I288" s="76">
        <v>26542.49</v>
      </c>
      <c r="J288" s="76"/>
      <c r="K288" s="76">
        <v>0</v>
      </c>
      <c r="L288" s="76"/>
      <c r="M288" s="76">
        <v>0</v>
      </c>
      <c r="N288" s="76"/>
      <c r="O288" s="76">
        <v>0</v>
      </c>
      <c r="P288" s="76"/>
      <c r="Q288" s="76">
        <v>2927.27</v>
      </c>
      <c r="R288" s="76"/>
      <c r="S288" s="76">
        <v>387.82</v>
      </c>
      <c r="T288" s="76"/>
      <c r="U288" s="76">
        <v>0</v>
      </c>
      <c r="V288" s="76"/>
      <c r="W288" s="76">
        <v>0</v>
      </c>
      <c r="X288" s="76"/>
      <c r="Y288" s="76">
        <v>0</v>
      </c>
      <c r="Z288" s="76"/>
      <c r="AA288" s="76">
        <v>0</v>
      </c>
      <c r="AB288" s="76"/>
      <c r="AC288" s="76">
        <v>0</v>
      </c>
      <c r="AD288" s="76"/>
      <c r="AE288" s="76">
        <v>0</v>
      </c>
      <c r="AF288" s="76"/>
      <c r="AG288" s="76">
        <v>0</v>
      </c>
      <c r="AH288"/>
      <c r="AI288" s="76">
        <f t="shared" si="4"/>
        <v>29857.58</v>
      </c>
      <c r="AJ288" s="10"/>
    </row>
    <row r="289" spans="1:39" s="21" customFormat="1" ht="12" customHeight="1" x14ac:dyDescent="0.2">
      <c r="A289" s="1" t="s">
        <v>194</v>
      </c>
      <c r="B289" s="1"/>
      <c r="C289" s="1" t="s">
        <v>795</v>
      </c>
      <c r="D289" s="1"/>
      <c r="E289" s="76">
        <v>52192.15</v>
      </c>
      <c r="F289" s="76"/>
      <c r="G289" s="76">
        <v>424848.67</v>
      </c>
      <c r="H289" s="76"/>
      <c r="I289" s="76">
        <v>84809.17</v>
      </c>
      <c r="J289" s="76"/>
      <c r="K289" s="76">
        <v>0</v>
      </c>
      <c r="L289" s="76"/>
      <c r="M289" s="76">
        <v>166054.94</v>
      </c>
      <c r="N289" s="76"/>
      <c r="O289" s="76">
        <v>40839.49</v>
      </c>
      <c r="P289" s="76"/>
      <c r="Q289" s="76">
        <v>25941.66</v>
      </c>
      <c r="R289" s="76"/>
      <c r="S289" s="76">
        <v>74962.97</v>
      </c>
      <c r="T289" s="76"/>
      <c r="U289" s="76">
        <v>0</v>
      </c>
      <c r="V289" s="76"/>
      <c r="W289" s="76">
        <v>0</v>
      </c>
      <c r="X289" s="76"/>
      <c r="Y289" s="76">
        <v>0</v>
      </c>
      <c r="Z289" s="76"/>
      <c r="AA289" s="76">
        <v>1280.4100000000001</v>
      </c>
      <c r="AB289" s="76"/>
      <c r="AC289" s="76">
        <v>9151.2000000000007</v>
      </c>
      <c r="AD289" s="76"/>
      <c r="AE289" s="76">
        <v>0</v>
      </c>
      <c r="AF289" s="76"/>
      <c r="AG289" s="76">
        <v>0</v>
      </c>
      <c r="AH289"/>
      <c r="AI289" s="76">
        <f t="shared" si="4"/>
        <v>880080.65999999992</v>
      </c>
      <c r="AJ289" s="10"/>
      <c r="AK289" s="1"/>
      <c r="AL289" s="1"/>
      <c r="AM289" s="1"/>
    </row>
    <row r="290" spans="1:39" s="21" customFormat="1" ht="12" customHeight="1" x14ac:dyDescent="0.2">
      <c r="A290" s="1" t="s">
        <v>408</v>
      </c>
      <c r="B290" s="1"/>
      <c r="C290" s="1" t="s">
        <v>407</v>
      </c>
      <c r="D290" s="1"/>
      <c r="E290" s="76">
        <v>22509</v>
      </c>
      <c r="F290" s="76"/>
      <c r="G290" s="76">
        <v>130107</v>
      </c>
      <c r="H290" s="76"/>
      <c r="I290" s="76">
        <v>36483</v>
      </c>
      <c r="J290" s="76"/>
      <c r="K290" s="76">
        <v>0</v>
      </c>
      <c r="L290" s="76"/>
      <c r="M290" s="76">
        <v>0</v>
      </c>
      <c r="N290" s="76"/>
      <c r="O290" s="76">
        <v>1260</v>
      </c>
      <c r="P290" s="76"/>
      <c r="Q290" s="76">
        <v>3061</v>
      </c>
      <c r="R290" s="76"/>
      <c r="S290" s="76">
        <v>8577</v>
      </c>
      <c r="T290" s="76"/>
      <c r="U290" s="76">
        <v>0</v>
      </c>
      <c r="V290" s="76"/>
      <c r="W290" s="76">
        <v>0</v>
      </c>
      <c r="X290" s="76"/>
      <c r="Y290" s="76">
        <v>0</v>
      </c>
      <c r="Z290" s="76"/>
      <c r="AA290" s="76">
        <v>0</v>
      </c>
      <c r="AB290" s="76"/>
      <c r="AC290" s="76">
        <v>0</v>
      </c>
      <c r="AD290" s="76"/>
      <c r="AE290" s="76">
        <v>109</v>
      </c>
      <c r="AF290" s="76"/>
      <c r="AG290" s="76">
        <v>0</v>
      </c>
      <c r="AH290" s="76"/>
      <c r="AI290" s="76">
        <f t="shared" si="4"/>
        <v>202106</v>
      </c>
      <c r="AJ290" s="10"/>
      <c r="AK290" s="1"/>
      <c r="AL290" s="1"/>
      <c r="AM290" s="1"/>
    </row>
    <row r="291" spans="1:39" ht="12" customHeight="1" x14ac:dyDescent="0.2">
      <c r="A291" s="1" t="s">
        <v>267</v>
      </c>
      <c r="C291" s="1" t="s">
        <v>596</v>
      </c>
      <c r="E291" s="76">
        <v>396629.68</v>
      </c>
      <c r="F291" s="76"/>
      <c r="G291" s="76">
        <v>0</v>
      </c>
      <c r="H291" s="76"/>
      <c r="I291" s="76">
        <v>19097.490000000002</v>
      </c>
      <c r="J291" s="76"/>
      <c r="K291" s="76">
        <v>0</v>
      </c>
      <c r="L291" s="76"/>
      <c r="M291" s="76">
        <v>600</v>
      </c>
      <c r="N291" s="76"/>
      <c r="O291" s="76">
        <v>0</v>
      </c>
      <c r="P291" s="76"/>
      <c r="Q291" s="76">
        <v>3720.36</v>
      </c>
      <c r="R291" s="76"/>
      <c r="S291" s="76">
        <v>15650</v>
      </c>
      <c r="T291" s="76"/>
      <c r="U291" s="76">
        <v>0</v>
      </c>
      <c r="V291" s="76"/>
      <c r="W291" s="76">
        <v>0</v>
      </c>
      <c r="X291" s="76"/>
      <c r="Y291" s="76">
        <v>0</v>
      </c>
      <c r="Z291" s="76"/>
      <c r="AA291" s="76">
        <v>0</v>
      </c>
      <c r="AB291" s="76"/>
      <c r="AC291" s="76">
        <v>0</v>
      </c>
      <c r="AD291" s="76"/>
      <c r="AE291" s="76">
        <v>0</v>
      </c>
      <c r="AF291" s="76"/>
      <c r="AG291" s="76">
        <v>0</v>
      </c>
      <c r="AH291"/>
      <c r="AI291" s="76">
        <f t="shared" si="4"/>
        <v>435697.52999999997</v>
      </c>
      <c r="AJ291" s="10"/>
    </row>
    <row r="292" spans="1:39" s="21" customFormat="1" ht="12" customHeight="1" x14ac:dyDescent="0.2">
      <c r="A292" s="1" t="s">
        <v>454</v>
      </c>
      <c r="B292" s="1"/>
      <c r="C292" s="1" t="s">
        <v>455</v>
      </c>
      <c r="D292" s="1"/>
      <c r="E292" s="76">
        <v>44325</v>
      </c>
      <c r="F292" s="76"/>
      <c r="G292" s="76">
        <v>2241055</v>
      </c>
      <c r="H292" s="76"/>
      <c r="I292" s="76">
        <v>54986</v>
      </c>
      <c r="J292" s="76"/>
      <c r="K292" s="76">
        <v>5969</v>
      </c>
      <c r="L292" s="76"/>
      <c r="M292" s="76">
        <v>112795</v>
      </c>
      <c r="N292" s="76"/>
      <c r="O292" s="76">
        <v>26054</v>
      </c>
      <c r="P292" s="76"/>
      <c r="Q292" s="76">
        <v>33926</v>
      </c>
      <c r="R292" s="76"/>
      <c r="S292" s="76">
        <v>165646</v>
      </c>
      <c r="T292" s="76"/>
      <c r="U292" s="76">
        <v>0</v>
      </c>
      <c r="V292" s="76"/>
      <c r="W292" s="76">
        <v>0</v>
      </c>
      <c r="X292" s="76"/>
      <c r="Y292" s="76">
        <v>0</v>
      </c>
      <c r="Z292" s="76"/>
      <c r="AA292" s="76">
        <v>0</v>
      </c>
      <c r="AB292" s="76"/>
      <c r="AC292" s="76">
        <v>0</v>
      </c>
      <c r="AD292" s="76"/>
      <c r="AE292" s="76">
        <v>0</v>
      </c>
      <c r="AF292" s="76"/>
      <c r="AG292" s="76">
        <v>0</v>
      </c>
      <c r="AH292" s="76"/>
      <c r="AI292" s="76">
        <f t="shared" si="4"/>
        <v>2684756</v>
      </c>
      <c r="AJ292" s="10"/>
      <c r="AK292" s="1"/>
      <c r="AL292" s="1"/>
      <c r="AM292" s="1"/>
    </row>
    <row r="293" spans="1:39" s="21" customFormat="1" ht="12" customHeight="1" x14ac:dyDescent="0.2">
      <c r="A293" s="1" t="s">
        <v>332</v>
      </c>
      <c r="B293" s="1"/>
      <c r="C293" s="1" t="s">
        <v>329</v>
      </c>
      <c r="D293" s="1"/>
      <c r="E293" s="76">
        <v>23102</v>
      </c>
      <c r="F293" s="76"/>
      <c r="G293" s="76">
        <v>0</v>
      </c>
      <c r="H293" s="76"/>
      <c r="I293" s="76">
        <v>30036</v>
      </c>
      <c r="J293" s="76"/>
      <c r="K293" s="76">
        <v>0</v>
      </c>
      <c r="L293" s="76"/>
      <c r="M293" s="76">
        <v>0</v>
      </c>
      <c r="N293" s="76"/>
      <c r="O293" s="76">
        <v>0</v>
      </c>
      <c r="P293" s="76"/>
      <c r="Q293" s="76">
        <v>1</v>
      </c>
      <c r="R293" s="76"/>
      <c r="S293" s="76">
        <v>2179</v>
      </c>
      <c r="T293" s="76"/>
      <c r="U293" s="76">
        <v>0</v>
      </c>
      <c r="V293" s="76"/>
      <c r="W293" s="76">
        <v>0</v>
      </c>
      <c r="X293" s="76"/>
      <c r="Y293" s="76">
        <v>0</v>
      </c>
      <c r="Z293" s="76"/>
      <c r="AA293" s="76">
        <v>0</v>
      </c>
      <c r="AB293" s="76"/>
      <c r="AC293" s="76">
        <v>0</v>
      </c>
      <c r="AD293" s="76"/>
      <c r="AE293" s="76">
        <v>0</v>
      </c>
      <c r="AF293" s="76"/>
      <c r="AG293" s="76">
        <v>0</v>
      </c>
      <c r="AH293" s="76"/>
      <c r="AI293" s="76">
        <f t="shared" si="4"/>
        <v>55318</v>
      </c>
      <c r="AJ293" s="10"/>
    </row>
    <row r="294" spans="1:39" ht="12" customHeight="1" x14ac:dyDescent="0.2">
      <c r="A294" s="1" t="s">
        <v>17</v>
      </c>
      <c r="C294" s="1" t="s">
        <v>741</v>
      </c>
      <c r="E294" s="76">
        <v>12327.47</v>
      </c>
      <c r="F294" s="76"/>
      <c r="G294" s="76">
        <v>0</v>
      </c>
      <c r="H294" s="76"/>
      <c r="I294" s="76">
        <v>26563.81</v>
      </c>
      <c r="J294" s="76"/>
      <c r="K294" s="76">
        <v>0</v>
      </c>
      <c r="L294" s="76"/>
      <c r="M294" s="76">
        <v>0</v>
      </c>
      <c r="N294" s="76"/>
      <c r="O294" s="76">
        <v>4</v>
      </c>
      <c r="P294" s="76"/>
      <c r="Q294" s="76">
        <v>619.79</v>
      </c>
      <c r="R294" s="76"/>
      <c r="S294" s="76">
        <v>0</v>
      </c>
      <c r="T294" s="76"/>
      <c r="U294" s="76">
        <v>0</v>
      </c>
      <c r="V294" s="76"/>
      <c r="W294" s="76">
        <v>0</v>
      </c>
      <c r="X294" s="76"/>
      <c r="Y294" s="76">
        <v>0</v>
      </c>
      <c r="Z294" s="76"/>
      <c r="AA294" s="76">
        <v>0</v>
      </c>
      <c r="AB294" s="76"/>
      <c r="AC294" s="76">
        <v>2500</v>
      </c>
      <c r="AD294" s="76"/>
      <c r="AE294" s="76">
        <v>6123.69</v>
      </c>
      <c r="AF294" s="76"/>
      <c r="AG294" s="76">
        <v>0</v>
      </c>
      <c r="AH294"/>
      <c r="AI294" s="76">
        <f t="shared" si="4"/>
        <v>48138.76</v>
      </c>
      <c r="AJ294" s="10"/>
      <c r="AK294" s="7"/>
      <c r="AL294" s="7"/>
      <c r="AM294" s="7"/>
    </row>
    <row r="295" spans="1:39" ht="12" customHeight="1" x14ac:dyDescent="0.2">
      <c r="A295" s="1" t="s">
        <v>413</v>
      </c>
      <c r="C295" s="1" t="s">
        <v>412</v>
      </c>
      <c r="E295" s="76">
        <v>23375.919999999998</v>
      </c>
      <c r="F295" s="76"/>
      <c r="G295" s="76">
        <v>0</v>
      </c>
      <c r="H295" s="76"/>
      <c r="I295" s="76">
        <v>18099.91</v>
      </c>
      <c r="J295" s="76"/>
      <c r="K295" s="76">
        <v>0</v>
      </c>
      <c r="L295" s="76"/>
      <c r="M295" s="76">
        <v>0</v>
      </c>
      <c r="N295" s="76"/>
      <c r="O295" s="76">
        <v>30</v>
      </c>
      <c r="P295" s="76"/>
      <c r="Q295" s="76">
        <v>75.98</v>
      </c>
      <c r="R295" s="76"/>
      <c r="S295" s="76">
        <v>1944.29</v>
      </c>
      <c r="T295" s="76"/>
      <c r="U295" s="76">
        <v>0</v>
      </c>
      <c r="V295" s="76"/>
      <c r="W295" s="76">
        <v>0</v>
      </c>
      <c r="X295" s="76"/>
      <c r="Y295" s="76">
        <v>0</v>
      </c>
      <c r="Z295" s="76"/>
      <c r="AA295" s="76">
        <v>0</v>
      </c>
      <c r="AB295" s="76"/>
      <c r="AC295" s="76">
        <v>0</v>
      </c>
      <c r="AD295" s="76"/>
      <c r="AE295" s="76">
        <v>0</v>
      </c>
      <c r="AF295" s="76"/>
      <c r="AG295" s="76">
        <v>0</v>
      </c>
      <c r="AH295"/>
      <c r="AI295" s="76">
        <f t="shared" si="4"/>
        <v>43526.100000000006</v>
      </c>
      <c r="AJ295" s="10"/>
      <c r="AK295" s="21"/>
      <c r="AL295" s="21"/>
      <c r="AM295" s="21"/>
    </row>
    <row r="296" spans="1:39" ht="12" customHeight="1" x14ac:dyDescent="0.2">
      <c r="A296" s="1" t="s">
        <v>101</v>
      </c>
      <c r="C296" s="1" t="s">
        <v>765</v>
      </c>
      <c r="E296" s="76">
        <v>47498.559999999998</v>
      </c>
      <c r="F296" s="76"/>
      <c r="G296" s="76">
        <v>119457.64</v>
      </c>
      <c r="H296" s="76"/>
      <c r="I296" s="76">
        <v>211260.45</v>
      </c>
      <c r="J296" s="76"/>
      <c r="K296" s="76">
        <v>0</v>
      </c>
      <c r="L296" s="76"/>
      <c r="M296" s="76">
        <v>120</v>
      </c>
      <c r="N296" s="76"/>
      <c r="O296" s="76">
        <v>6251.93</v>
      </c>
      <c r="P296" s="76"/>
      <c r="Q296" s="76">
        <v>154.21</v>
      </c>
      <c r="R296" s="76"/>
      <c r="S296" s="76">
        <v>12966.52</v>
      </c>
      <c r="T296" s="76"/>
      <c r="U296" s="76">
        <v>0</v>
      </c>
      <c r="V296" s="76"/>
      <c r="W296" s="76">
        <v>0</v>
      </c>
      <c r="X296" s="76"/>
      <c r="Y296" s="76">
        <v>0</v>
      </c>
      <c r="Z296" s="76"/>
      <c r="AA296" s="76">
        <v>0</v>
      </c>
      <c r="AB296" s="76"/>
      <c r="AC296" s="76">
        <v>0</v>
      </c>
      <c r="AD296" s="76"/>
      <c r="AE296" s="76">
        <v>0</v>
      </c>
      <c r="AF296" s="76"/>
      <c r="AG296" s="76">
        <v>0</v>
      </c>
      <c r="AH296"/>
      <c r="AI296" s="76">
        <f t="shared" si="4"/>
        <v>397709.31000000006</v>
      </c>
      <c r="AJ296" s="10"/>
      <c r="AK296" s="21"/>
      <c r="AL296" s="21"/>
      <c r="AM296" s="21"/>
    </row>
    <row r="297" spans="1:39" ht="12" customHeight="1" x14ac:dyDescent="0.2">
      <c r="A297" s="1" t="s">
        <v>257</v>
      </c>
      <c r="C297" s="1" t="s">
        <v>813</v>
      </c>
      <c r="E297" s="76">
        <v>10760.77</v>
      </c>
      <c r="F297" s="76"/>
      <c r="G297" s="76">
        <v>0</v>
      </c>
      <c r="H297" s="76"/>
      <c r="I297" s="76">
        <v>14060.31</v>
      </c>
      <c r="J297" s="76"/>
      <c r="K297" s="76">
        <v>0</v>
      </c>
      <c r="L297" s="76"/>
      <c r="M297" s="76">
        <v>7349.96</v>
      </c>
      <c r="N297" s="76"/>
      <c r="O297" s="76">
        <v>50</v>
      </c>
      <c r="P297" s="76"/>
      <c r="Q297" s="76">
        <v>44.67</v>
      </c>
      <c r="R297" s="76"/>
      <c r="S297" s="76">
        <v>0</v>
      </c>
      <c r="T297" s="76"/>
      <c r="U297" s="76">
        <v>0</v>
      </c>
      <c r="V297" s="76"/>
      <c r="W297" s="76">
        <v>0</v>
      </c>
      <c r="X297" s="76"/>
      <c r="Y297" s="76">
        <v>0</v>
      </c>
      <c r="Z297" s="76"/>
      <c r="AA297" s="76">
        <v>0</v>
      </c>
      <c r="AB297" s="76"/>
      <c r="AC297" s="76">
        <v>0</v>
      </c>
      <c r="AD297" s="76"/>
      <c r="AE297" s="76">
        <v>0</v>
      </c>
      <c r="AF297" s="76"/>
      <c r="AG297" s="76">
        <v>1400.93</v>
      </c>
      <c r="AH297"/>
      <c r="AI297" s="76">
        <f t="shared" si="4"/>
        <v>33666.639999999999</v>
      </c>
      <c r="AJ297" s="10"/>
    </row>
    <row r="298" spans="1:39" s="21" customFormat="1" ht="12" customHeight="1" x14ac:dyDescent="0.2">
      <c r="A298" s="1" t="s">
        <v>321</v>
      </c>
      <c r="B298" s="1"/>
      <c r="C298" s="1" t="s">
        <v>316</v>
      </c>
      <c r="D298" s="1"/>
      <c r="E298" s="76">
        <v>621453</v>
      </c>
      <c r="F298" s="76"/>
      <c r="G298" s="76">
        <v>0</v>
      </c>
      <c r="H298" s="76"/>
      <c r="I298" s="76">
        <v>71208653</v>
      </c>
      <c r="J298" s="76"/>
      <c r="K298" s="76">
        <v>0</v>
      </c>
      <c r="L298" s="76"/>
      <c r="M298" s="76">
        <v>72218</v>
      </c>
      <c r="N298" s="76"/>
      <c r="O298" s="76">
        <v>104746</v>
      </c>
      <c r="P298" s="76"/>
      <c r="Q298" s="76">
        <v>142560</v>
      </c>
      <c r="R298" s="76"/>
      <c r="S298" s="76">
        <v>172206</v>
      </c>
      <c r="T298" s="76"/>
      <c r="U298" s="76">
        <v>0</v>
      </c>
      <c r="V298" s="76"/>
      <c r="W298" s="76">
        <v>0</v>
      </c>
      <c r="X298" s="76"/>
      <c r="Y298" s="76">
        <v>0</v>
      </c>
      <c r="Z298" s="76"/>
      <c r="AA298" s="76">
        <v>0</v>
      </c>
      <c r="AB298" s="76"/>
      <c r="AC298" s="76">
        <v>0</v>
      </c>
      <c r="AD298" s="76"/>
      <c r="AE298" s="76">
        <v>0</v>
      </c>
      <c r="AF298" s="76"/>
      <c r="AG298" s="76">
        <v>0</v>
      </c>
      <c r="AH298" s="76"/>
      <c r="AI298" s="76">
        <f t="shared" si="4"/>
        <v>72321836</v>
      </c>
      <c r="AJ298" s="10"/>
      <c r="AK298" s="22"/>
      <c r="AL298" s="22"/>
      <c r="AM298" s="22"/>
    </row>
    <row r="299" spans="1:39" ht="12" customHeight="1" x14ac:dyDescent="0.2">
      <c r="A299" s="1" t="s">
        <v>133</v>
      </c>
      <c r="C299" s="1" t="s">
        <v>775</v>
      </c>
      <c r="E299" s="76">
        <v>11434.76</v>
      </c>
      <c r="F299" s="76"/>
      <c r="G299" s="76">
        <v>62027.88</v>
      </c>
      <c r="H299" s="76"/>
      <c r="I299" s="76">
        <v>10939.49</v>
      </c>
      <c r="J299" s="76"/>
      <c r="K299" s="76">
        <v>0</v>
      </c>
      <c r="L299" s="76"/>
      <c r="M299" s="76">
        <v>40000</v>
      </c>
      <c r="N299" s="76"/>
      <c r="O299" s="76">
        <v>2175.21</v>
      </c>
      <c r="P299" s="76"/>
      <c r="Q299" s="76">
        <v>3385.22</v>
      </c>
      <c r="R299" s="76"/>
      <c r="S299" s="76">
        <v>2583.9899999999998</v>
      </c>
      <c r="T299" s="76"/>
      <c r="U299" s="76">
        <v>0</v>
      </c>
      <c r="V299" s="76"/>
      <c r="W299" s="76">
        <v>0</v>
      </c>
      <c r="X299" s="76"/>
      <c r="Y299" s="76">
        <v>0</v>
      </c>
      <c r="Z299" s="76"/>
      <c r="AA299" s="76">
        <v>0</v>
      </c>
      <c r="AB299" s="76"/>
      <c r="AC299" s="76">
        <v>0</v>
      </c>
      <c r="AD299" s="76"/>
      <c r="AE299" s="76">
        <v>0</v>
      </c>
      <c r="AF299" s="76"/>
      <c r="AG299" s="76">
        <v>0</v>
      </c>
      <c r="AH299"/>
      <c r="AI299" s="76">
        <f t="shared" si="4"/>
        <v>132546.55000000002</v>
      </c>
      <c r="AJ299" s="10"/>
      <c r="AK299" s="21"/>
      <c r="AL299" s="21"/>
      <c r="AM299" s="21"/>
    </row>
    <row r="300" spans="1:39" ht="12" customHeight="1" x14ac:dyDescent="0.2">
      <c r="A300" s="1" t="s">
        <v>118</v>
      </c>
      <c r="C300" s="1" t="s">
        <v>770</v>
      </c>
      <c r="E300" s="76">
        <v>15843.34</v>
      </c>
      <c r="F300" s="76"/>
      <c r="G300" s="76">
        <v>0</v>
      </c>
      <c r="H300" s="76"/>
      <c r="I300" s="76">
        <v>22312.959999999999</v>
      </c>
      <c r="J300" s="76"/>
      <c r="K300" s="76">
        <v>0</v>
      </c>
      <c r="L300" s="76"/>
      <c r="M300" s="76">
        <v>0</v>
      </c>
      <c r="N300" s="76"/>
      <c r="O300" s="76">
        <v>25</v>
      </c>
      <c r="P300" s="76"/>
      <c r="Q300" s="76">
        <v>778.58</v>
      </c>
      <c r="R300" s="76"/>
      <c r="S300" s="76">
        <v>8052.15</v>
      </c>
      <c r="T300" s="76"/>
      <c r="U300" s="76">
        <v>0</v>
      </c>
      <c r="V300" s="76"/>
      <c r="W300" s="76">
        <v>0</v>
      </c>
      <c r="X300" s="76"/>
      <c r="Y300" s="76">
        <v>0</v>
      </c>
      <c r="Z300" s="76"/>
      <c r="AA300" s="76">
        <v>0</v>
      </c>
      <c r="AB300" s="76"/>
      <c r="AC300" s="76">
        <v>0</v>
      </c>
      <c r="AD300" s="76"/>
      <c r="AE300" s="76">
        <v>0</v>
      </c>
      <c r="AF300" s="76"/>
      <c r="AG300" s="76">
        <v>0</v>
      </c>
      <c r="AH300"/>
      <c r="AI300" s="76">
        <f t="shared" si="4"/>
        <v>47012.030000000006</v>
      </c>
      <c r="AJ300" s="10"/>
    </row>
    <row r="301" spans="1:39" ht="12" customHeight="1" x14ac:dyDescent="0.2">
      <c r="A301" s="15" t="s">
        <v>687</v>
      </c>
      <c r="B301" s="15"/>
      <c r="C301" s="15" t="s">
        <v>329</v>
      </c>
      <c r="D301" s="15"/>
      <c r="E301" s="76">
        <v>14989</v>
      </c>
      <c r="F301" s="76"/>
      <c r="G301" s="76">
        <v>0</v>
      </c>
      <c r="H301" s="76"/>
      <c r="I301" s="76">
        <v>340</v>
      </c>
      <c r="J301" s="76"/>
      <c r="K301" s="76">
        <v>0</v>
      </c>
      <c r="L301" s="76"/>
      <c r="M301" s="76">
        <v>0</v>
      </c>
      <c r="N301" s="76"/>
      <c r="O301" s="76">
        <v>0</v>
      </c>
      <c r="P301" s="76"/>
      <c r="Q301" s="76">
        <v>17</v>
      </c>
      <c r="R301" s="76"/>
      <c r="S301" s="76">
        <v>0</v>
      </c>
      <c r="T301" s="76"/>
      <c r="U301" s="76">
        <v>0</v>
      </c>
      <c r="V301" s="76"/>
      <c r="W301" s="76">
        <v>0</v>
      </c>
      <c r="X301" s="76"/>
      <c r="Y301" s="76">
        <v>0</v>
      </c>
      <c r="Z301" s="76"/>
      <c r="AA301" s="76">
        <v>0</v>
      </c>
      <c r="AB301" s="76"/>
      <c r="AC301" s="76">
        <v>0</v>
      </c>
      <c r="AD301" s="76"/>
      <c r="AE301" s="76">
        <v>0</v>
      </c>
      <c r="AF301" s="76"/>
      <c r="AG301" s="76">
        <v>0</v>
      </c>
      <c r="AH301" s="77"/>
      <c r="AI301" s="76">
        <f t="shared" si="4"/>
        <v>15346</v>
      </c>
      <c r="AJ301" s="24"/>
      <c r="AK301" s="32"/>
      <c r="AL301" s="32"/>
      <c r="AM301" s="32"/>
    </row>
    <row r="302" spans="1:39" ht="12" customHeight="1" x14ac:dyDescent="0.2">
      <c r="A302" s="1" t="s">
        <v>223</v>
      </c>
      <c r="C302" s="1" t="s">
        <v>803</v>
      </c>
      <c r="E302" s="76">
        <v>138952.29999999999</v>
      </c>
      <c r="F302" s="76"/>
      <c r="G302" s="76">
        <v>1144.53</v>
      </c>
      <c r="H302" s="76"/>
      <c r="I302" s="76">
        <v>59039.65</v>
      </c>
      <c r="J302" s="76"/>
      <c r="K302" s="76">
        <v>0</v>
      </c>
      <c r="L302" s="76"/>
      <c r="M302" s="76">
        <v>42878.82</v>
      </c>
      <c r="N302" s="76"/>
      <c r="O302" s="76">
        <v>20379.29</v>
      </c>
      <c r="P302" s="76"/>
      <c r="Q302" s="76">
        <v>1310.28</v>
      </c>
      <c r="R302" s="76"/>
      <c r="S302" s="76">
        <v>4477.78</v>
      </c>
      <c r="T302" s="76"/>
      <c r="U302" s="76">
        <v>0</v>
      </c>
      <c r="V302" s="76"/>
      <c r="W302" s="76">
        <v>0</v>
      </c>
      <c r="X302" s="76"/>
      <c r="Y302" s="76">
        <v>0</v>
      </c>
      <c r="Z302" s="76"/>
      <c r="AA302" s="76">
        <v>211.45</v>
      </c>
      <c r="AB302" s="76"/>
      <c r="AC302" s="76">
        <v>0</v>
      </c>
      <c r="AD302" s="76"/>
      <c r="AE302" s="76">
        <v>0</v>
      </c>
      <c r="AF302" s="76"/>
      <c r="AG302" s="76">
        <v>0</v>
      </c>
      <c r="AH302"/>
      <c r="AI302" s="76">
        <f t="shared" si="4"/>
        <v>268394.10000000003</v>
      </c>
      <c r="AJ302" s="10"/>
    </row>
    <row r="303" spans="1:39" ht="12" customHeight="1" x14ac:dyDescent="0.2">
      <c r="A303" s="15" t="s">
        <v>689</v>
      </c>
      <c r="B303" s="15"/>
      <c r="C303" s="15" t="s">
        <v>688</v>
      </c>
      <c r="D303" s="15"/>
      <c r="E303" s="76">
        <v>946</v>
      </c>
      <c r="F303" s="76"/>
      <c r="G303" s="76">
        <v>0</v>
      </c>
      <c r="H303" s="76"/>
      <c r="I303" s="76">
        <v>11910</v>
      </c>
      <c r="J303" s="76"/>
      <c r="K303" s="76">
        <v>0</v>
      </c>
      <c r="L303" s="76"/>
      <c r="M303" s="76">
        <v>0</v>
      </c>
      <c r="N303" s="76"/>
      <c r="O303" s="76">
        <v>0</v>
      </c>
      <c r="P303" s="76"/>
      <c r="Q303" s="76">
        <v>0</v>
      </c>
      <c r="R303" s="76"/>
      <c r="S303" s="76">
        <v>0</v>
      </c>
      <c r="T303" s="76"/>
      <c r="U303" s="76">
        <v>0</v>
      </c>
      <c r="V303" s="76"/>
      <c r="W303" s="76">
        <v>0</v>
      </c>
      <c r="X303" s="76"/>
      <c r="Y303" s="76">
        <v>0</v>
      </c>
      <c r="Z303" s="76"/>
      <c r="AA303" s="76">
        <v>0</v>
      </c>
      <c r="AB303" s="76"/>
      <c r="AC303" s="76">
        <v>0</v>
      </c>
      <c r="AD303" s="76"/>
      <c r="AE303" s="76">
        <v>0</v>
      </c>
      <c r="AF303" s="76"/>
      <c r="AG303" s="76">
        <v>0</v>
      </c>
      <c r="AH303" s="77"/>
      <c r="AI303" s="76">
        <f t="shared" si="4"/>
        <v>12856</v>
      </c>
      <c r="AJ303" s="24"/>
      <c r="AK303" s="32"/>
      <c r="AL303" s="32"/>
      <c r="AM303" s="32"/>
    </row>
    <row r="304" spans="1:39" ht="12" customHeight="1" x14ac:dyDescent="0.2">
      <c r="A304" s="15" t="s">
        <v>958</v>
      </c>
      <c r="B304" s="15"/>
      <c r="C304" s="15" t="s">
        <v>271</v>
      </c>
      <c r="D304" s="15"/>
      <c r="E304" s="76">
        <v>24159</v>
      </c>
      <c r="F304" s="76"/>
      <c r="G304" s="76">
        <v>0</v>
      </c>
      <c r="H304" s="76"/>
      <c r="I304" s="76">
        <v>14480</v>
      </c>
      <c r="J304" s="76"/>
      <c r="K304" s="76">
        <v>0</v>
      </c>
      <c r="L304" s="76"/>
      <c r="M304" s="76">
        <v>0</v>
      </c>
      <c r="N304" s="76"/>
      <c r="O304" s="76">
        <v>14146</v>
      </c>
      <c r="P304" s="76"/>
      <c r="Q304" s="76">
        <v>15</v>
      </c>
      <c r="R304" s="76"/>
      <c r="S304" s="76">
        <f>1828+3370</f>
        <v>5198</v>
      </c>
      <c r="T304" s="76"/>
      <c r="U304" s="76">
        <v>0</v>
      </c>
      <c r="V304" s="76"/>
      <c r="W304" s="76">
        <v>0</v>
      </c>
      <c r="X304" s="76"/>
      <c r="Y304" s="76">
        <v>0</v>
      </c>
      <c r="Z304" s="76"/>
      <c r="AA304" s="76">
        <v>0</v>
      </c>
      <c r="AB304" s="76"/>
      <c r="AC304" s="76">
        <v>0</v>
      </c>
      <c r="AD304" s="76"/>
      <c r="AE304" s="76">
        <v>0</v>
      </c>
      <c r="AF304" s="76"/>
      <c r="AG304" s="76">
        <v>0</v>
      </c>
      <c r="AH304" s="77"/>
      <c r="AI304" s="76">
        <f t="shared" si="4"/>
        <v>57998</v>
      </c>
      <c r="AJ304" s="24"/>
      <c r="AK304" s="32"/>
      <c r="AL304" s="32"/>
      <c r="AM304" s="32"/>
    </row>
    <row r="305" spans="1:39" ht="12" customHeight="1" x14ac:dyDescent="0.2">
      <c r="A305" s="1" t="s">
        <v>84</v>
      </c>
      <c r="C305" s="1" t="s">
        <v>761</v>
      </c>
      <c r="E305" s="76">
        <v>101432.54</v>
      </c>
      <c r="F305" s="76"/>
      <c r="G305" s="76">
        <v>173238.37</v>
      </c>
      <c r="H305" s="76"/>
      <c r="I305" s="76">
        <v>63215.57</v>
      </c>
      <c r="J305" s="76"/>
      <c r="K305" s="76">
        <v>0</v>
      </c>
      <c r="L305" s="76"/>
      <c r="M305" s="76">
        <v>0</v>
      </c>
      <c r="N305" s="76"/>
      <c r="O305" s="76">
        <v>34878.400000000001</v>
      </c>
      <c r="P305" s="76"/>
      <c r="Q305" s="76">
        <v>1199.71</v>
      </c>
      <c r="R305" s="76"/>
      <c r="S305" s="76">
        <v>0</v>
      </c>
      <c r="T305" s="76"/>
      <c r="U305" s="76">
        <v>0</v>
      </c>
      <c r="V305" s="76"/>
      <c r="W305" s="76">
        <v>0</v>
      </c>
      <c r="X305" s="76"/>
      <c r="Y305" s="76">
        <v>0</v>
      </c>
      <c r="Z305" s="76"/>
      <c r="AA305" s="76">
        <v>0</v>
      </c>
      <c r="AB305" s="76"/>
      <c r="AC305" s="76">
        <v>0</v>
      </c>
      <c r="AD305" s="76"/>
      <c r="AE305" s="76">
        <v>2119.04</v>
      </c>
      <c r="AF305" s="76"/>
      <c r="AG305" s="76">
        <v>0</v>
      </c>
      <c r="AH305"/>
      <c r="AI305" s="76">
        <f t="shared" si="4"/>
        <v>376083.63</v>
      </c>
      <c r="AJ305" s="10"/>
      <c r="AK305" s="21"/>
      <c r="AL305" s="21"/>
      <c r="AM305" s="21"/>
    </row>
    <row r="306" spans="1:39" s="21" customFormat="1" ht="12" customHeight="1" x14ac:dyDescent="0.2">
      <c r="A306" s="1" t="s">
        <v>690</v>
      </c>
      <c r="B306" s="1"/>
      <c r="C306" s="1" t="s">
        <v>671</v>
      </c>
      <c r="D306" s="1"/>
      <c r="E306" s="76">
        <v>650809</v>
      </c>
      <c r="F306" s="76"/>
      <c r="G306" s="76">
        <v>0</v>
      </c>
      <c r="H306" s="76"/>
      <c r="I306" s="76">
        <v>189408</v>
      </c>
      <c r="J306" s="76"/>
      <c r="K306" s="76">
        <v>0</v>
      </c>
      <c r="L306" s="76"/>
      <c r="M306" s="76">
        <v>188</v>
      </c>
      <c r="N306" s="76"/>
      <c r="O306" s="76">
        <v>41189</v>
      </c>
      <c r="P306" s="76"/>
      <c r="Q306" s="76">
        <v>1437</v>
      </c>
      <c r="R306" s="76"/>
      <c r="S306" s="76">
        <v>6497</v>
      </c>
      <c r="T306" s="76"/>
      <c r="U306" s="76">
        <v>0</v>
      </c>
      <c r="V306" s="76"/>
      <c r="W306" s="76">
        <v>0</v>
      </c>
      <c r="X306" s="76"/>
      <c r="Y306" s="76">
        <v>0</v>
      </c>
      <c r="Z306" s="76"/>
      <c r="AA306" s="76">
        <v>15</v>
      </c>
      <c r="AB306" s="76"/>
      <c r="AC306" s="76">
        <v>0</v>
      </c>
      <c r="AD306" s="76"/>
      <c r="AE306" s="76">
        <v>0</v>
      </c>
      <c r="AF306" s="76"/>
      <c r="AG306" s="76">
        <v>0</v>
      </c>
      <c r="AH306" s="76"/>
      <c r="AI306" s="76">
        <f t="shared" si="4"/>
        <v>889543</v>
      </c>
      <c r="AJ306" s="10"/>
      <c r="AK306" s="22"/>
      <c r="AL306" s="22"/>
      <c r="AM306" s="22"/>
    </row>
    <row r="307" spans="1:39" ht="12" customHeight="1" x14ac:dyDescent="0.2">
      <c r="A307" s="1" t="s">
        <v>69</v>
      </c>
      <c r="C307" s="1" t="s">
        <v>757</v>
      </c>
      <c r="E307" s="76">
        <v>156227.64000000001</v>
      </c>
      <c r="F307" s="76"/>
      <c r="G307" s="76">
        <v>200329.64</v>
      </c>
      <c r="H307" s="76"/>
      <c r="I307" s="76">
        <v>33248.32</v>
      </c>
      <c r="J307" s="76"/>
      <c r="K307" s="76">
        <v>0</v>
      </c>
      <c r="L307" s="76"/>
      <c r="M307" s="76">
        <v>3356.37</v>
      </c>
      <c r="N307" s="76"/>
      <c r="O307" s="76">
        <v>4564.6099999999997</v>
      </c>
      <c r="P307" s="76"/>
      <c r="Q307" s="76">
        <v>87.45</v>
      </c>
      <c r="R307" s="76"/>
      <c r="S307" s="76">
        <v>26788.49</v>
      </c>
      <c r="T307" s="76"/>
      <c r="U307" s="76">
        <v>0</v>
      </c>
      <c r="V307" s="76"/>
      <c r="W307" s="76">
        <v>0</v>
      </c>
      <c r="X307" s="76"/>
      <c r="Y307" s="76">
        <v>0</v>
      </c>
      <c r="Z307" s="76"/>
      <c r="AA307" s="76">
        <v>0</v>
      </c>
      <c r="AB307" s="76"/>
      <c r="AC307" s="76">
        <v>0</v>
      </c>
      <c r="AD307" s="76"/>
      <c r="AE307" s="76">
        <v>0</v>
      </c>
      <c r="AF307" s="76"/>
      <c r="AG307" s="76">
        <v>0</v>
      </c>
      <c r="AH307"/>
      <c r="AI307" s="76">
        <f t="shared" si="4"/>
        <v>424602.52</v>
      </c>
      <c r="AJ307" s="10"/>
      <c r="AK307" s="7"/>
      <c r="AL307" s="7"/>
      <c r="AM307" s="7"/>
    </row>
    <row r="308" spans="1:39" ht="12" customHeight="1" x14ac:dyDescent="0.2">
      <c r="A308" s="1" t="s">
        <v>691</v>
      </c>
      <c r="C308" s="1" t="s">
        <v>388</v>
      </c>
      <c r="E308" s="76">
        <v>22268.31</v>
      </c>
      <c r="F308" s="76"/>
      <c r="G308" s="76">
        <v>0</v>
      </c>
      <c r="H308" s="76"/>
      <c r="I308" s="76">
        <v>27295.53</v>
      </c>
      <c r="J308" s="76"/>
      <c r="K308" s="76">
        <v>0</v>
      </c>
      <c r="L308" s="76"/>
      <c r="M308" s="76">
        <v>7635</v>
      </c>
      <c r="N308" s="76"/>
      <c r="O308" s="76">
        <v>0</v>
      </c>
      <c r="P308" s="76"/>
      <c r="Q308" s="76">
        <v>219.83</v>
      </c>
      <c r="R308" s="76"/>
      <c r="S308" s="76">
        <v>29319.9</v>
      </c>
      <c r="T308" s="76"/>
      <c r="U308" s="76">
        <v>0</v>
      </c>
      <c r="V308" s="76"/>
      <c r="W308" s="76">
        <v>0</v>
      </c>
      <c r="X308" s="76"/>
      <c r="Y308" s="76">
        <v>0</v>
      </c>
      <c r="Z308" s="76"/>
      <c r="AA308" s="76">
        <v>0</v>
      </c>
      <c r="AB308" s="76"/>
      <c r="AC308" s="76">
        <v>0</v>
      </c>
      <c r="AD308" s="76"/>
      <c r="AE308" s="76">
        <v>0</v>
      </c>
      <c r="AF308" s="76"/>
      <c r="AG308" s="76">
        <v>0</v>
      </c>
      <c r="AH308"/>
      <c r="AI308" s="76">
        <f t="shared" si="4"/>
        <v>86738.57</v>
      </c>
      <c r="AJ308" s="10"/>
      <c r="AK308" s="7"/>
      <c r="AL308" s="7"/>
      <c r="AM308" s="7"/>
    </row>
    <row r="309" spans="1:39" s="15" customFormat="1" ht="12" customHeight="1" x14ac:dyDescent="0.2">
      <c r="A309" s="1"/>
      <c r="B309" s="1"/>
      <c r="C309" s="1"/>
      <c r="D309" s="1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10"/>
      <c r="AK309" s="21"/>
      <c r="AL309" s="21"/>
      <c r="AM309" s="21"/>
    </row>
    <row r="310" spans="1:39" s="15" customFormat="1" ht="12" customHeight="1" x14ac:dyDescent="0.2">
      <c r="A310" s="1"/>
      <c r="B310" s="1"/>
      <c r="C310" s="1"/>
      <c r="D310" s="1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 t="s">
        <v>850</v>
      </c>
      <c r="AJ310" s="10"/>
      <c r="AK310" s="21"/>
      <c r="AL310" s="21"/>
      <c r="AM310" s="21"/>
    </row>
    <row r="311" spans="1:39" s="15" customFormat="1" ht="12" customHeight="1" x14ac:dyDescent="0.2">
      <c r="A311" s="1"/>
      <c r="B311" s="1"/>
      <c r="C311" s="1"/>
      <c r="D311" s="1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10"/>
      <c r="AK311" s="21"/>
      <c r="AL311" s="21"/>
      <c r="AM311" s="21"/>
    </row>
    <row r="312" spans="1:39" ht="12" customHeight="1" x14ac:dyDescent="0.2">
      <c r="A312" s="1" t="s">
        <v>692</v>
      </c>
      <c r="C312" s="1" t="s">
        <v>666</v>
      </c>
      <c r="E312" s="88">
        <v>29530</v>
      </c>
      <c r="F312" s="88"/>
      <c r="G312" s="88">
        <v>0</v>
      </c>
      <c r="H312" s="88"/>
      <c r="I312" s="88">
        <v>31759</v>
      </c>
      <c r="J312" s="88"/>
      <c r="K312" s="88">
        <v>0</v>
      </c>
      <c r="L312" s="88"/>
      <c r="M312" s="88">
        <v>1363</v>
      </c>
      <c r="N312" s="88"/>
      <c r="O312" s="88">
        <v>0</v>
      </c>
      <c r="P312" s="88"/>
      <c r="Q312" s="88">
        <v>282</v>
      </c>
      <c r="R312" s="88"/>
      <c r="S312" s="88">
        <v>300</v>
      </c>
      <c r="T312" s="88"/>
      <c r="U312" s="88">
        <v>0</v>
      </c>
      <c r="V312" s="88"/>
      <c r="W312" s="88">
        <v>0</v>
      </c>
      <c r="X312" s="88"/>
      <c r="Y312" s="88">
        <v>0</v>
      </c>
      <c r="Z312" s="88"/>
      <c r="AA312" s="88">
        <v>0</v>
      </c>
      <c r="AB312" s="88"/>
      <c r="AC312" s="88">
        <v>0</v>
      </c>
      <c r="AD312" s="88"/>
      <c r="AE312" s="88">
        <v>0</v>
      </c>
      <c r="AF312" s="88"/>
      <c r="AG312" s="88">
        <v>0</v>
      </c>
      <c r="AH312" s="88"/>
      <c r="AI312" s="88">
        <f t="shared" si="4"/>
        <v>63234</v>
      </c>
      <c r="AJ312" s="36"/>
      <c r="AK312" s="21"/>
      <c r="AL312" s="21"/>
      <c r="AM312" s="21"/>
    </row>
    <row r="313" spans="1:39" s="21" customFormat="1" ht="12" customHeight="1" x14ac:dyDescent="0.2">
      <c r="A313" s="1" t="s">
        <v>693</v>
      </c>
      <c r="B313" s="1"/>
      <c r="C313" s="1" t="s">
        <v>601</v>
      </c>
      <c r="D313" s="1"/>
      <c r="E313" s="76">
        <v>20756.060000000001</v>
      </c>
      <c r="F313" s="76"/>
      <c r="G313" s="76">
        <v>0</v>
      </c>
      <c r="H313" s="76"/>
      <c r="I313" s="76">
        <v>8160.71</v>
      </c>
      <c r="J313" s="76"/>
      <c r="K313" s="76">
        <v>0</v>
      </c>
      <c r="L313" s="76"/>
      <c r="M313" s="76">
        <v>0</v>
      </c>
      <c r="N313" s="76"/>
      <c r="O313" s="76">
        <v>1652.78</v>
      </c>
      <c r="P313" s="76"/>
      <c r="Q313" s="76">
        <v>32.229999999999997</v>
      </c>
      <c r="R313" s="76"/>
      <c r="S313" s="76">
        <v>5047.1499999999996</v>
      </c>
      <c r="T313" s="76"/>
      <c r="U313" s="76">
        <v>0</v>
      </c>
      <c r="V313" s="76"/>
      <c r="W313" s="76">
        <v>0</v>
      </c>
      <c r="X313" s="76"/>
      <c r="Y313" s="76">
        <v>0</v>
      </c>
      <c r="Z313" s="76"/>
      <c r="AA313" s="76">
        <v>0</v>
      </c>
      <c r="AB313" s="76"/>
      <c r="AC313" s="76">
        <v>15000</v>
      </c>
      <c r="AD313" s="76"/>
      <c r="AE313" s="76">
        <v>0</v>
      </c>
      <c r="AF313" s="76"/>
      <c r="AG313" s="76">
        <v>90.2</v>
      </c>
      <c r="AH313"/>
      <c r="AI313" s="76">
        <f t="shared" si="4"/>
        <v>50739.13</v>
      </c>
      <c r="AJ313" s="36"/>
    </row>
    <row r="314" spans="1:39" s="10" customFormat="1" ht="12" customHeight="1" x14ac:dyDescent="0.2">
      <c r="A314" s="15" t="s">
        <v>102</v>
      </c>
      <c r="B314" s="15"/>
      <c r="C314" s="15" t="s">
        <v>403</v>
      </c>
      <c r="D314" s="15"/>
      <c r="E314" s="76">
        <v>23778.15</v>
      </c>
      <c r="F314" s="76"/>
      <c r="G314" s="76">
        <v>39509.22</v>
      </c>
      <c r="H314" s="76"/>
      <c r="I314" s="76">
        <v>29225.91</v>
      </c>
      <c r="J314" s="76"/>
      <c r="K314" s="76">
        <v>38.67</v>
      </c>
      <c r="L314" s="76"/>
      <c r="M314" s="76">
        <v>0</v>
      </c>
      <c r="N314" s="76"/>
      <c r="O314" s="76">
        <v>10524.88</v>
      </c>
      <c r="P314" s="76"/>
      <c r="Q314" s="76">
        <v>435.28</v>
      </c>
      <c r="R314" s="76"/>
      <c r="S314" s="76">
        <v>403.38</v>
      </c>
      <c r="T314" s="76"/>
      <c r="U314" s="76">
        <v>0</v>
      </c>
      <c r="V314" s="76"/>
      <c r="W314" s="76">
        <v>0</v>
      </c>
      <c r="X314" s="76"/>
      <c r="Y314" s="76">
        <v>0</v>
      </c>
      <c r="Z314" s="76"/>
      <c r="AA314" s="76">
        <v>0</v>
      </c>
      <c r="AB314" s="76"/>
      <c r="AC314" s="76">
        <v>0</v>
      </c>
      <c r="AD314" s="76"/>
      <c r="AE314" s="76">
        <v>1355.14</v>
      </c>
      <c r="AF314" s="76"/>
      <c r="AG314" s="76">
        <v>0</v>
      </c>
      <c r="AH314"/>
      <c r="AI314" s="76">
        <f t="shared" si="4"/>
        <v>105270.63</v>
      </c>
      <c r="AJ314" s="37"/>
      <c r="AK314" s="31"/>
      <c r="AL314" s="31"/>
      <c r="AM314" s="31"/>
    </row>
    <row r="315" spans="1:39" s="10" customFormat="1" ht="12" hidden="1" customHeight="1" x14ac:dyDescent="0.2">
      <c r="A315" s="15" t="s">
        <v>131</v>
      </c>
      <c r="B315" s="15"/>
      <c r="C315" s="15" t="s">
        <v>439</v>
      </c>
      <c r="D315" s="15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/>
      <c r="AI315" s="76">
        <f t="shared" si="4"/>
        <v>0</v>
      </c>
      <c r="AJ315" s="37"/>
      <c r="AK315" s="31"/>
      <c r="AL315" s="31"/>
      <c r="AM315" s="31"/>
    </row>
    <row r="316" spans="1:39" s="21" customFormat="1" ht="12" customHeight="1" x14ac:dyDescent="0.2">
      <c r="A316" s="1" t="s">
        <v>694</v>
      </c>
      <c r="B316" s="1"/>
      <c r="C316" s="1" t="s">
        <v>500</v>
      </c>
      <c r="D316" s="1"/>
      <c r="E316" s="76">
        <v>19114</v>
      </c>
      <c r="F316" s="76"/>
      <c r="G316" s="76">
        <v>0</v>
      </c>
      <c r="H316" s="76"/>
      <c r="I316" s="76">
        <v>19216</v>
      </c>
      <c r="J316" s="76"/>
      <c r="K316" s="76">
        <v>0</v>
      </c>
      <c r="L316" s="76"/>
      <c r="M316" s="76">
        <v>350</v>
      </c>
      <c r="N316" s="76"/>
      <c r="O316" s="76">
        <v>5382</v>
      </c>
      <c r="P316" s="76"/>
      <c r="Q316" s="76">
        <v>2855</v>
      </c>
      <c r="R316" s="76"/>
      <c r="S316" s="76">
        <v>14285</v>
      </c>
      <c r="T316" s="76"/>
      <c r="U316" s="76">
        <v>0</v>
      </c>
      <c r="V316" s="76"/>
      <c r="W316" s="76">
        <v>0</v>
      </c>
      <c r="X316" s="76"/>
      <c r="Y316" s="76">
        <v>0</v>
      </c>
      <c r="Z316" s="76"/>
      <c r="AA316" s="76">
        <v>0</v>
      </c>
      <c r="AB316" s="76"/>
      <c r="AC316" s="76">
        <v>0</v>
      </c>
      <c r="AD316" s="76"/>
      <c r="AE316" s="76">
        <v>0</v>
      </c>
      <c r="AF316" s="76"/>
      <c r="AG316" s="76">
        <v>0</v>
      </c>
      <c r="AH316" s="79"/>
      <c r="AI316" s="76">
        <f t="shared" si="4"/>
        <v>61202</v>
      </c>
      <c r="AJ316" s="36"/>
    </row>
    <row r="317" spans="1:39" ht="12" customHeight="1" x14ac:dyDescent="0.2">
      <c r="A317" s="1" t="s">
        <v>829</v>
      </c>
      <c r="C317" s="1" t="s">
        <v>513</v>
      </c>
      <c r="E317" s="76">
        <v>86256.56</v>
      </c>
      <c r="F317" s="76"/>
      <c r="G317" s="76">
        <v>355588.96</v>
      </c>
      <c r="H317" s="76"/>
      <c r="I317" s="76">
        <v>222365.81</v>
      </c>
      <c r="J317" s="76"/>
      <c r="K317" s="76">
        <v>0</v>
      </c>
      <c r="L317" s="76"/>
      <c r="M317" s="76">
        <v>62282.27</v>
      </c>
      <c r="N317" s="76"/>
      <c r="O317" s="76">
        <v>2979.5</v>
      </c>
      <c r="P317" s="76"/>
      <c r="Q317" s="76">
        <v>1663.27</v>
      </c>
      <c r="R317" s="76"/>
      <c r="S317" s="76">
        <v>64230.28</v>
      </c>
      <c r="T317" s="76"/>
      <c r="U317" s="76">
        <v>0</v>
      </c>
      <c r="V317" s="76"/>
      <c r="W317" s="76">
        <v>0</v>
      </c>
      <c r="X317" s="76"/>
      <c r="Y317" s="76">
        <v>0</v>
      </c>
      <c r="Z317" s="76"/>
      <c r="AA317" s="76">
        <v>0</v>
      </c>
      <c r="AB317" s="76"/>
      <c r="AC317" s="76">
        <v>18550.53</v>
      </c>
      <c r="AD317" s="76"/>
      <c r="AE317" s="76">
        <v>0</v>
      </c>
      <c r="AF317" s="76"/>
      <c r="AG317" s="76">
        <v>0</v>
      </c>
      <c r="AH317"/>
      <c r="AI317" s="76">
        <f t="shared" si="4"/>
        <v>813917.18000000017</v>
      </c>
      <c r="AJ317" s="36"/>
      <c r="AK317" s="21"/>
      <c r="AL317" s="21"/>
      <c r="AM317" s="21"/>
    </row>
    <row r="318" spans="1:39" s="31" customFormat="1" ht="12" customHeight="1" x14ac:dyDescent="0.2">
      <c r="A318" s="1" t="s">
        <v>695</v>
      </c>
      <c r="B318" s="1"/>
      <c r="C318" s="1" t="s">
        <v>348</v>
      </c>
      <c r="D318" s="1"/>
      <c r="E318" s="76">
        <v>328293</v>
      </c>
      <c r="F318" s="76"/>
      <c r="G318" s="76">
        <v>0</v>
      </c>
      <c r="H318" s="76"/>
      <c r="I318" s="76">
        <v>181196</v>
      </c>
      <c r="J318" s="76"/>
      <c r="K318" s="76">
        <v>0</v>
      </c>
      <c r="L318" s="76"/>
      <c r="M318" s="76">
        <v>500</v>
      </c>
      <c r="N318" s="76"/>
      <c r="O318" s="76">
        <v>41092</v>
      </c>
      <c r="P318" s="76"/>
      <c r="Q318" s="76">
        <v>953</v>
      </c>
      <c r="R318" s="76"/>
      <c r="S318" s="76">
        <v>111403</v>
      </c>
      <c r="T318" s="76"/>
      <c r="U318" s="76">
        <v>0</v>
      </c>
      <c r="V318" s="76"/>
      <c r="W318" s="76">
        <v>0</v>
      </c>
      <c r="X318" s="76"/>
      <c r="Y318" s="76">
        <v>0</v>
      </c>
      <c r="Z318" s="76"/>
      <c r="AA318" s="76">
        <v>0</v>
      </c>
      <c r="AB318" s="76"/>
      <c r="AC318" s="76">
        <v>0</v>
      </c>
      <c r="AD318" s="76"/>
      <c r="AE318" s="76">
        <v>0</v>
      </c>
      <c r="AF318" s="76"/>
      <c r="AG318" s="76">
        <v>0</v>
      </c>
      <c r="AH318" s="79"/>
      <c r="AI318" s="76">
        <f t="shared" si="4"/>
        <v>663437</v>
      </c>
      <c r="AJ318" s="36"/>
      <c r="AK318" s="21"/>
      <c r="AL318" s="21"/>
      <c r="AM318" s="21"/>
    </row>
    <row r="319" spans="1:39" ht="12" customHeight="1" x14ac:dyDescent="0.2">
      <c r="A319" s="15" t="s">
        <v>961</v>
      </c>
      <c r="B319" s="15"/>
      <c r="C319" s="15" t="s">
        <v>536</v>
      </c>
      <c r="D319" s="15"/>
      <c r="E319" s="76">
        <v>6486</v>
      </c>
      <c r="F319" s="76"/>
      <c r="G319" s="76">
        <v>13989</v>
      </c>
      <c r="H319" s="76"/>
      <c r="I319" s="76">
        <v>11287</v>
      </c>
      <c r="J319" s="76"/>
      <c r="K319" s="76">
        <v>0</v>
      </c>
      <c r="L319" s="76"/>
      <c r="M319" s="76">
        <v>0</v>
      </c>
      <c r="N319" s="76"/>
      <c r="O319" s="76">
        <v>1494</v>
      </c>
      <c r="P319" s="76"/>
      <c r="Q319" s="76">
        <v>203</v>
      </c>
      <c r="R319" s="76"/>
      <c r="S319" s="76">
        <v>4210</v>
      </c>
      <c r="T319" s="76"/>
      <c r="U319" s="76">
        <v>0</v>
      </c>
      <c r="V319" s="76"/>
      <c r="W319" s="76">
        <v>0</v>
      </c>
      <c r="X319" s="76"/>
      <c r="Y319" s="76">
        <v>0</v>
      </c>
      <c r="Z319" s="76"/>
      <c r="AA319" s="76">
        <v>0</v>
      </c>
      <c r="AB319" s="76"/>
      <c r="AC319" s="76">
        <v>0</v>
      </c>
      <c r="AD319" s="76"/>
      <c r="AE319" s="76">
        <v>0</v>
      </c>
      <c r="AF319" s="76"/>
      <c r="AG319" s="76">
        <v>0</v>
      </c>
      <c r="AH319" s="78"/>
      <c r="AI319" s="76">
        <f t="shared" si="4"/>
        <v>37669</v>
      </c>
      <c r="AJ319" s="37"/>
      <c r="AK319" s="31"/>
      <c r="AL319" s="31"/>
      <c r="AM319" s="31"/>
    </row>
    <row r="320" spans="1:39" ht="12" customHeight="1" x14ac:dyDescent="0.2">
      <c r="A320" s="1" t="s">
        <v>889</v>
      </c>
      <c r="C320" s="1" t="s">
        <v>412</v>
      </c>
      <c r="E320" s="76">
        <v>46136</v>
      </c>
      <c r="F320" s="76"/>
      <c r="G320" s="76">
        <v>104359</v>
      </c>
      <c r="H320" s="76"/>
      <c r="I320" s="76">
        <v>16727</v>
      </c>
      <c r="J320" s="76"/>
      <c r="K320" s="76">
        <v>0</v>
      </c>
      <c r="L320" s="76"/>
      <c r="M320" s="76">
        <v>1401</v>
      </c>
      <c r="N320" s="76"/>
      <c r="O320" s="76">
        <v>0</v>
      </c>
      <c r="P320" s="76"/>
      <c r="Q320" s="76">
        <v>334</v>
      </c>
      <c r="R320" s="76"/>
      <c r="S320" s="76">
        <v>11564</v>
      </c>
      <c r="T320" s="76"/>
      <c r="U320" s="76">
        <v>0</v>
      </c>
      <c r="V320" s="76"/>
      <c r="W320" s="76">
        <v>0</v>
      </c>
      <c r="X320" s="76"/>
      <c r="Y320" s="76">
        <v>0</v>
      </c>
      <c r="Z320" s="76"/>
      <c r="AA320" s="76">
        <v>0</v>
      </c>
      <c r="AB320" s="76"/>
      <c r="AC320" s="76">
        <v>0</v>
      </c>
      <c r="AD320" s="76"/>
      <c r="AE320" s="76">
        <v>0</v>
      </c>
      <c r="AF320" s="76"/>
      <c r="AG320" s="76">
        <v>0</v>
      </c>
      <c r="AH320" s="76"/>
      <c r="AI320" s="76">
        <f t="shared" si="4"/>
        <v>180521</v>
      </c>
      <c r="AJ320" s="10"/>
    </row>
    <row r="321" spans="1:39" s="21" customFormat="1" ht="12" customHeight="1" x14ac:dyDescent="0.2">
      <c r="A321" s="1" t="s">
        <v>213</v>
      </c>
      <c r="B321" s="1"/>
      <c r="C321" s="1" t="s">
        <v>799</v>
      </c>
      <c r="D321" s="1"/>
      <c r="E321" s="76">
        <v>14128.3</v>
      </c>
      <c r="F321" s="76"/>
      <c r="G321" s="76">
        <v>0</v>
      </c>
      <c r="H321" s="76"/>
      <c r="I321" s="76">
        <v>39185.760000000002</v>
      </c>
      <c r="J321" s="76"/>
      <c r="K321" s="76">
        <v>0</v>
      </c>
      <c r="L321" s="76"/>
      <c r="M321" s="76">
        <v>0</v>
      </c>
      <c r="N321" s="76"/>
      <c r="O321" s="76">
        <v>175</v>
      </c>
      <c r="P321" s="76"/>
      <c r="Q321" s="76">
        <v>5386.38</v>
      </c>
      <c r="R321" s="76"/>
      <c r="S321" s="76">
        <v>2344.58</v>
      </c>
      <c r="T321" s="76"/>
      <c r="U321" s="76">
        <v>0</v>
      </c>
      <c r="V321" s="76"/>
      <c r="W321" s="76">
        <v>0</v>
      </c>
      <c r="X321" s="76"/>
      <c r="Y321" s="76">
        <v>0</v>
      </c>
      <c r="Z321" s="76"/>
      <c r="AA321" s="76">
        <v>0</v>
      </c>
      <c r="AB321" s="76"/>
      <c r="AC321" s="76">
        <v>0</v>
      </c>
      <c r="AD321" s="76"/>
      <c r="AE321" s="76">
        <v>0</v>
      </c>
      <c r="AF321" s="76"/>
      <c r="AG321" s="76">
        <v>0</v>
      </c>
      <c r="AH321"/>
      <c r="AI321" s="76">
        <f t="shared" si="4"/>
        <v>61220.02</v>
      </c>
      <c r="AJ321" s="10"/>
      <c r="AK321" s="1"/>
      <c r="AL321" s="1"/>
      <c r="AM321" s="1"/>
    </row>
    <row r="322" spans="1:39" ht="12" customHeight="1" x14ac:dyDescent="0.2">
      <c r="A322" s="1" t="s">
        <v>136</v>
      </c>
      <c r="C322" s="1" t="s">
        <v>776</v>
      </c>
      <c r="E322" s="76">
        <v>16785.36</v>
      </c>
      <c r="F322" s="76"/>
      <c r="G322" s="76">
        <v>0</v>
      </c>
      <c r="H322" s="76"/>
      <c r="I322" s="76">
        <v>20713.189999999999</v>
      </c>
      <c r="J322" s="76"/>
      <c r="K322" s="76">
        <v>0</v>
      </c>
      <c r="L322" s="76"/>
      <c r="M322" s="76">
        <v>5273.8</v>
      </c>
      <c r="N322" s="76"/>
      <c r="O322" s="76">
        <v>413.11</v>
      </c>
      <c r="P322" s="76"/>
      <c r="Q322" s="76">
        <v>0</v>
      </c>
      <c r="R322" s="76"/>
      <c r="S322" s="76">
        <v>499.06</v>
      </c>
      <c r="T322" s="76"/>
      <c r="U322" s="76">
        <v>0</v>
      </c>
      <c r="V322" s="76"/>
      <c r="W322" s="76">
        <v>0</v>
      </c>
      <c r="X322" s="76"/>
      <c r="Y322" s="76">
        <v>0</v>
      </c>
      <c r="Z322" s="76"/>
      <c r="AA322" s="76">
        <v>0</v>
      </c>
      <c r="AB322" s="76"/>
      <c r="AC322" s="76">
        <v>0</v>
      </c>
      <c r="AD322" s="76"/>
      <c r="AE322" s="76">
        <v>0</v>
      </c>
      <c r="AF322" s="76"/>
      <c r="AG322" s="76">
        <v>0</v>
      </c>
      <c r="AH322"/>
      <c r="AI322" s="76">
        <f t="shared" si="4"/>
        <v>43684.520000000004</v>
      </c>
      <c r="AJ322" s="10"/>
      <c r="AK322" s="21"/>
      <c r="AL322" s="21"/>
      <c r="AM322" s="21"/>
    </row>
    <row r="323" spans="1:39" ht="12" customHeight="1" x14ac:dyDescent="0.2">
      <c r="A323" s="1" t="s">
        <v>265</v>
      </c>
      <c r="C323" s="1" t="s">
        <v>814</v>
      </c>
      <c r="E323" s="76">
        <v>683.52</v>
      </c>
      <c r="F323" s="76"/>
      <c r="G323" s="76">
        <v>12915.05</v>
      </c>
      <c r="H323" s="76"/>
      <c r="I323" s="76">
        <v>2814.02</v>
      </c>
      <c r="J323" s="76"/>
      <c r="K323" s="76">
        <v>0</v>
      </c>
      <c r="L323" s="76"/>
      <c r="M323" s="76">
        <v>0</v>
      </c>
      <c r="N323" s="76"/>
      <c r="O323" s="76">
        <v>0</v>
      </c>
      <c r="P323" s="76"/>
      <c r="Q323" s="76">
        <v>75.63</v>
      </c>
      <c r="R323" s="76"/>
      <c r="S323" s="76">
        <v>0</v>
      </c>
      <c r="T323" s="76"/>
      <c r="U323" s="76">
        <v>0</v>
      </c>
      <c r="V323" s="76"/>
      <c r="W323" s="76">
        <v>0</v>
      </c>
      <c r="X323" s="76"/>
      <c r="Y323" s="76">
        <v>0</v>
      </c>
      <c r="Z323" s="76"/>
      <c r="AA323" s="76">
        <v>0</v>
      </c>
      <c r="AB323" s="76"/>
      <c r="AC323" s="76">
        <v>0</v>
      </c>
      <c r="AD323" s="76"/>
      <c r="AE323" s="76">
        <v>0</v>
      </c>
      <c r="AF323" s="76"/>
      <c r="AG323" s="76">
        <v>0</v>
      </c>
      <c r="AH323"/>
      <c r="AI323" s="76">
        <f t="shared" si="4"/>
        <v>16488.22</v>
      </c>
      <c r="AJ323" s="10"/>
    </row>
    <row r="324" spans="1:39" ht="12" customHeight="1" x14ac:dyDescent="0.2">
      <c r="A324" s="1" t="s">
        <v>696</v>
      </c>
      <c r="C324" s="1" t="s">
        <v>439</v>
      </c>
      <c r="E324" s="76">
        <v>41848.720000000001</v>
      </c>
      <c r="F324" s="76"/>
      <c r="G324" s="76">
        <v>0</v>
      </c>
      <c r="H324" s="76"/>
      <c r="I324" s="76">
        <v>31090.45</v>
      </c>
      <c r="J324" s="76"/>
      <c r="K324" s="76">
        <v>0</v>
      </c>
      <c r="L324" s="76"/>
      <c r="M324" s="76">
        <v>0</v>
      </c>
      <c r="N324" s="76"/>
      <c r="O324" s="76">
        <v>104207.74</v>
      </c>
      <c r="P324" s="76"/>
      <c r="Q324" s="76">
        <v>74.8</v>
      </c>
      <c r="R324" s="76"/>
      <c r="S324" s="76">
        <v>4837.16</v>
      </c>
      <c r="T324" s="76"/>
      <c r="U324" s="76">
        <v>0</v>
      </c>
      <c r="V324" s="76"/>
      <c r="W324" s="76">
        <v>0</v>
      </c>
      <c r="X324" s="76"/>
      <c r="Y324" s="76">
        <v>0</v>
      </c>
      <c r="Z324" s="76"/>
      <c r="AA324" s="76">
        <v>0</v>
      </c>
      <c r="AB324" s="76"/>
      <c r="AC324" s="76">
        <v>0</v>
      </c>
      <c r="AD324" s="76"/>
      <c r="AE324" s="76">
        <v>0</v>
      </c>
      <c r="AF324" s="76"/>
      <c r="AG324" s="76">
        <v>0</v>
      </c>
      <c r="AH324"/>
      <c r="AI324" s="76">
        <f t="shared" si="4"/>
        <v>182058.87</v>
      </c>
      <c r="AJ324" s="10"/>
    </row>
    <row r="325" spans="1:39" ht="12" customHeight="1" x14ac:dyDescent="0.2">
      <c r="A325" s="1" t="s">
        <v>904</v>
      </c>
      <c r="C325" s="1" t="s">
        <v>430</v>
      </c>
      <c r="E325" s="76">
        <v>1433567</v>
      </c>
      <c r="F325" s="76"/>
      <c r="G325" s="76">
        <v>0</v>
      </c>
      <c r="H325" s="76"/>
      <c r="I325" s="76">
        <v>259005</v>
      </c>
      <c r="J325" s="76"/>
      <c r="K325" s="76">
        <v>0</v>
      </c>
      <c r="L325" s="76"/>
      <c r="M325" s="76">
        <v>8068</v>
      </c>
      <c r="N325" s="76"/>
      <c r="O325" s="76">
        <v>93231</v>
      </c>
      <c r="P325" s="76"/>
      <c r="Q325" s="76">
        <v>865414</v>
      </c>
      <c r="R325" s="76"/>
      <c r="S325" s="76">
        <v>31517</v>
      </c>
      <c r="T325" s="76"/>
      <c r="U325" s="76">
        <v>0</v>
      </c>
      <c r="V325" s="76"/>
      <c r="W325" s="76">
        <v>0</v>
      </c>
      <c r="X325" s="76"/>
      <c r="Y325" s="76">
        <v>0</v>
      </c>
      <c r="Z325" s="76"/>
      <c r="AA325" s="76">
        <v>0</v>
      </c>
      <c r="AB325" s="76"/>
      <c r="AC325" s="76">
        <v>0</v>
      </c>
      <c r="AD325" s="76"/>
      <c r="AE325" s="76">
        <v>0</v>
      </c>
      <c r="AF325" s="76"/>
      <c r="AG325" s="76">
        <v>0</v>
      </c>
      <c r="AH325" s="76"/>
      <c r="AI325" s="76">
        <f t="shared" si="4"/>
        <v>2690802</v>
      </c>
      <c r="AJ325" s="10"/>
      <c r="AK325" s="21"/>
      <c r="AL325" s="21"/>
      <c r="AM325" s="21"/>
    </row>
    <row r="326" spans="1:39" ht="12" customHeight="1" x14ac:dyDescent="0.2">
      <c r="A326" s="1" t="s">
        <v>967</v>
      </c>
      <c r="C326" s="1" t="s">
        <v>463</v>
      </c>
      <c r="E326" s="76">
        <v>74028.08</v>
      </c>
      <c r="F326" s="76"/>
      <c r="G326" s="76">
        <v>0</v>
      </c>
      <c r="H326" s="76"/>
      <c r="I326" s="76">
        <v>20189.830000000002</v>
      </c>
      <c r="J326" s="76"/>
      <c r="K326" s="76">
        <v>0</v>
      </c>
      <c r="L326" s="76"/>
      <c r="M326" s="76">
        <v>0</v>
      </c>
      <c r="N326" s="76"/>
      <c r="O326" s="76">
        <v>5832.49</v>
      </c>
      <c r="P326" s="76"/>
      <c r="Q326" s="76">
        <v>335.67</v>
      </c>
      <c r="R326" s="76"/>
      <c r="S326" s="76">
        <v>11743.36</v>
      </c>
      <c r="T326" s="76"/>
      <c r="U326" s="76">
        <v>0</v>
      </c>
      <c r="V326" s="76"/>
      <c r="W326" s="76">
        <v>0</v>
      </c>
      <c r="X326" s="76"/>
      <c r="Y326" s="76">
        <v>0</v>
      </c>
      <c r="Z326" s="76"/>
      <c r="AA326" s="76">
        <v>0</v>
      </c>
      <c r="AB326" s="76"/>
      <c r="AC326" s="76">
        <v>0</v>
      </c>
      <c r="AD326" s="76"/>
      <c r="AE326" s="76">
        <v>0</v>
      </c>
      <c r="AF326" s="76"/>
      <c r="AG326" s="76">
        <v>0</v>
      </c>
      <c r="AH326" s="81"/>
      <c r="AI326" s="76">
        <f t="shared" si="4"/>
        <v>112129.43000000001</v>
      </c>
      <c r="AJ326" s="10"/>
    </row>
    <row r="327" spans="1:39" ht="12" customHeight="1" x14ac:dyDescent="0.2">
      <c r="A327" s="1" t="s">
        <v>5</v>
      </c>
      <c r="C327" s="1" t="s">
        <v>737</v>
      </c>
      <c r="E327" s="76">
        <v>38200.6</v>
      </c>
      <c r="F327" s="76"/>
      <c r="G327" s="76">
        <v>0</v>
      </c>
      <c r="H327" s="76"/>
      <c r="I327" s="76">
        <v>11204.29</v>
      </c>
      <c r="J327" s="76"/>
      <c r="K327" s="76">
        <v>0</v>
      </c>
      <c r="L327" s="76"/>
      <c r="M327" s="76">
        <v>0</v>
      </c>
      <c r="N327" s="76"/>
      <c r="O327" s="76">
        <v>0</v>
      </c>
      <c r="P327" s="76"/>
      <c r="Q327" s="76">
        <v>18.37</v>
      </c>
      <c r="R327" s="76"/>
      <c r="S327" s="76">
        <v>170.12</v>
      </c>
      <c r="T327" s="76"/>
      <c r="U327" s="76">
        <v>0</v>
      </c>
      <c r="V327" s="76"/>
      <c r="W327" s="76">
        <v>0</v>
      </c>
      <c r="X327" s="76"/>
      <c r="Y327" s="76">
        <v>0</v>
      </c>
      <c r="Z327" s="76"/>
      <c r="AA327" s="76">
        <v>0</v>
      </c>
      <c r="AB327" s="76"/>
      <c r="AC327" s="76">
        <v>0</v>
      </c>
      <c r="AD327" s="76"/>
      <c r="AE327" s="76">
        <v>0</v>
      </c>
      <c r="AF327" s="76"/>
      <c r="AG327" s="76">
        <v>0</v>
      </c>
      <c r="AH327"/>
      <c r="AI327" s="76">
        <f t="shared" si="4"/>
        <v>49593.380000000005</v>
      </c>
      <c r="AJ327" s="10"/>
      <c r="AK327" s="21"/>
      <c r="AL327" s="21"/>
      <c r="AM327" s="21"/>
    </row>
    <row r="328" spans="1:39" s="21" customFormat="1" ht="12" customHeight="1" x14ac:dyDescent="0.2">
      <c r="A328" s="1" t="s">
        <v>137</v>
      </c>
      <c r="B328" s="1"/>
      <c r="C328" s="1" t="s">
        <v>776</v>
      </c>
      <c r="D328" s="1"/>
      <c r="E328" s="76">
        <v>253799.32</v>
      </c>
      <c r="F328" s="76"/>
      <c r="G328" s="76">
        <v>859158.63</v>
      </c>
      <c r="H328" s="76"/>
      <c r="I328" s="76">
        <v>81359.09</v>
      </c>
      <c r="J328" s="76"/>
      <c r="K328" s="76">
        <v>0</v>
      </c>
      <c r="L328" s="76"/>
      <c r="M328" s="76">
        <v>157116.04</v>
      </c>
      <c r="N328" s="76"/>
      <c r="O328" s="76">
        <v>50923.64</v>
      </c>
      <c r="P328" s="76"/>
      <c r="Q328" s="76">
        <v>3247.39</v>
      </c>
      <c r="R328" s="76"/>
      <c r="S328" s="76">
        <v>2670.27</v>
      </c>
      <c r="T328" s="76"/>
      <c r="U328" s="76">
        <v>0</v>
      </c>
      <c r="V328" s="76"/>
      <c r="W328" s="76">
        <v>0</v>
      </c>
      <c r="X328" s="76"/>
      <c r="Y328" s="76">
        <v>0</v>
      </c>
      <c r="Z328" s="76"/>
      <c r="AA328" s="76">
        <v>44.28</v>
      </c>
      <c r="AB328" s="76"/>
      <c r="AC328" s="76">
        <v>0</v>
      </c>
      <c r="AD328" s="76"/>
      <c r="AE328" s="76">
        <v>0</v>
      </c>
      <c r="AF328" s="76"/>
      <c r="AG328" s="76">
        <v>0</v>
      </c>
      <c r="AH328"/>
      <c r="AI328" s="76">
        <f t="shared" si="4"/>
        <v>1408318.66</v>
      </c>
      <c r="AJ328" s="10"/>
      <c r="AK328" s="1"/>
      <c r="AL328" s="1"/>
      <c r="AM328" s="1"/>
    </row>
    <row r="329" spans="1:39" ht="12" customHeight="1" x14ac:dyDescent="0.2">
      <c r="A329" s="1" t="s">
        <v>698</v>
      </c>
      <c r="C329" s="1" t="s">
        <v>430</v>
      </c>
      <c r="E329" s="76">
        <v>34032.550000000003</v>
      </c>
      <c r="F329" s="76"/>
      <c r="G329" s="76">
        <v>7473.28</v>
      </c>
      <c r="H329" s="76"/>
      <c r="I329" s="76">
        <v>30106.02</v>
      </c>
      <c r="J329" s="76"/>
      <c r="K329" s="76">
        <v>0</v>
      </c>
      <c r="L329" s="76"/>
      <c r="M329" s="76">
        <v>0</v>
      </c>
      <c r="N329" s="76"/>
      <c r="O329" s="76">
        <v>3554.82</v>
      </c>
      <c r="P329" s="76"/>
      <c r="Q329" s="76">
        <v>47.31</v>
      </c>
      <c r="R329" s="76"/>
      <c r="S329" s="76">
        <v>9.7100000000000009</v>
      </c>
      <c r="T329" s="76"/>
      <c r="U329" s="76">
        <v>0</v>
      </c>
      <c r="V329" s="76"/>
      <c r="W329" s="76">
        <v>0</v>
      </c>
      <c r="X329" s="76"/>
      <c r="Y329" s="76">
        <v>0</v>
      </c>
      <c r="Z329" s="76"/>
      <c r="AA329" s="76">
        <v>0</v>
      </c>
      <c r="AB329" s="76"/>
      <c r="AC329" s="76">
        <v>0</v>
      </c>
      <c r="AD329" s="76"/>
      <c r="AE329" s="76">
        <v>0</v>
      </c>
      <c r="AF329" s="76"/>
      <c r="AG329" s="76">
        <v>0</v>
      </c>
      <c r="AH329" s="81"/>
      <c r="AI329" s="76">
        <f t="shared" si="4"/>
        <v>75223.690000000017</v>
      </c>
      <c r="AJ329" s="10"/>
    </row>
    <row r="330" spans="1:39" s="21" customFormat="1" ht="12" customHeight="1" x14ac:dyDescent="0.2">
      <c r="A330" s="15" t="s">
        <v>817</v>
      </c>
      <c r="B330" s="15"/>
      <c r="C330" s="15" t="s">
        <v>549</v>
      </c>
      <c r="D330" s="1"/>
      <c r="E330" s="76">
        <v>115228.1</v>
      </c>
      <c r="F330" s="76"/>
      <c r="G330" s="76">
        <v>740478.44</v>
      </c>
      <c r="H330" s="76"/>
      <c r="I330" s="76">
        <v>184678.63</v>
      </c>
      <c r="J330" s="76"/>
      <c r="K330" s="76">
        <v>0</v>
      </c>
      <c r="L330" s="76"/>
      <c r="M330" s="76">
        <v>20617.39</v>
      </c>
      <c r="N330" s="76"/>
      <c r="O330" s="76">
        <v>77595.960000000006</v>
      </c>
      <c r="P330" s="76"/>
      <c r="Q330" s="76">
        <v>0</v>
      </c>
      <c r="R330" s="76"/>
      <c r="S330" s="76">
        <v>25908.03</v>
      </c>
      <c r="T330" s="76"/>
      <c r="U330" s="76">
        <v>0</v>
      </c>
      <c r="V330" s="76"/>
      <c r="W330" s="76">
        <v>0</v>
      </c>
      <c r="X330" s="76"/>
      <c r="Y330" s="76">
        <v>0</v>
      </c>
      <c r="Z330" s="76"/>
      <c r="AA330" s="76">
        <v>0</v>
      </c>
      <c r="AB330" s="76"/>
      <c r="AC330" s="76">
        <v>0</v>
      </c>
      <c r="AD330" s="76"/>
      <c r="AE330" s="76">
        <v>0</v>
      </c>
      <c r="AF330" s="76"/>
      <c r="AG330" s="76">
        <v>4500</v>
      </c>
      <c r="AH330"/>
      <c r="AI330" s="76">
        <f t="shared" si="4"/>
        <v>1169006.5499999998</v>
      </c>
      <c r="AJ330" s="10"/>
      <c r="AK330" s="1"/>
      <c r="AL330" s="1"/>
      <c r="AM330" s="1"/>
    </row>
    <row r="331" spans="1:39" ht="12" customHeight="1" x14ac:dyDescent="0.2">
      <c r="A331" s="1" t="s">
        <v>697</v>
      </c>
      <c r="C331" s="1" t="s">
        <v>446</v>
      </c>
      <c r="E331" s="76">
        <v>36993.480000000003</v>
      </c>
      <c r="F331" s="76"/>
      <c r="G331" s="76">
        <v>0</v>
      </c>
      <c r="H331" s="76"/>
      <c r="I331" s="76">
        <v>32305.73</v>
      </c>
      <c r="J331" s="76"/>
      <c r="K331" s="76">
        <v>0</v>
      </c>
      <c r="L331" s="76"/>
      <c r="M331" s="76">
        <v>160244.84</v>
      </c>
      <c r="N331" s="76"/>
      <c r="O331" s="76">
        <v>6873.73</v>
      </c>
      <c r="P331" s="76"/>
      <c r="Q331" s="76">
        <v>7786.5</v>
      </c>
      <c r="R331" s="76"/>
      <c r="S331" s="76">
        <v>4579.7299999999996</v>
      </c>
      <c r="T331" s="76"/>
      <c r="U331" s="76">
        <v>0</v>
      </c>
      <c r="V331" s="76"/>
      <c r="W331" s="76">
        <v>0</v>
      </c>
      <c r="X331" s="76"/>
      <c r="Y331" s="76">
        <v>0</v>
      </c>
      <c r="Z331" s="76"/>
      <c r="AA331" s="76">
        <v>0</v>
      </c>
      <c r="AB331" s="76"/>
      <c r="AC331" s="76">
        <v>0</v>
      </c>
      <c r="AD331" s="76"/>
      <c r="AE331" s="76">
        <v>0</v>
      </c>
      <c r="AF331" s="76"/>
      <c r="AG331" s="76">
        <v>0</v>
      </c>
      <c r="AH331" s="81"/>
      <c r="AI331" s="76">
        <f t="shared" si="4"/>
        <v>248784.01</v>
      </c>
      <c r="AJ331" s="10"/>
    </row>
    <row r="332" spans="1:39" ht="12" customHeight="1" x14ac:dyDescent="0.2">
      <c r="A332" s="1" t="s">
        <v>184</v>
      </c>
      <c r="C332" s="1" t="s">
        <v>792</v>
      </c>
      <c r="E332" s="76">
        <v>6788.16</v>
      </c>
      <c r="F332" s="76"/>
      <c r="G332" s="76">
        <v>0</v>
      </c>
      <c r="H332" s="76"/>
      <c r="I332" s="76">
        <v>23261.21</v>
      </c>
      <c r="J332" s="76"/>
      <c r="K332" s="76">
        <v>0</v>
      </c>
      <c r="L332" s="76"/>
      <c r="M332" s="76">
        <v>0</v>
      </c>
      <c r="N332" s="76"/>
      <c r="O332" s="76">
        <v>0</v>
      </c>
      <c r="P332" s="76"/>
      <c r="Q332" s="76">
        <v>34.58</v>
      </c>
      <c r="R332" s="76"/>
      <c r="S332" s="76">
        <v>10059.709999999999</v>
      </c>
      <c r="T332" s="76"/>
      <c r="U332" s="76">
        <v>0</v>
      </c>
      <c r="V332" s="76"/>
      <c r="W332" s="76">
        <v>0</v>
      </c>
      <c r="X332" s="76"/>
      <c r="Y332" s="76">
        <v>0</v>
      </c>
      <c r="Z332" s="76"/>
      <c r="AA332" s="76">
        <v>0</v>
      </c>
      <c r="AB332" s="76"/>
      <c r="AC332" s="76">
        <v>0</v>
      </c>
      <c r="AD332" s="76"/>
      <c r="AE332" s="76">
        <v>0</v>
      </c>
      <c r="AF332" s="76"/>
      <c r="AG332" s="76">
        <v>0</v>
      </c>
      <c r="AH332"/>
      <c r="AI332" s="76">
        <f t="shared" si="4"/>
        <v>40143.660000000003</v>
      </c>
      <c r="AJ332" s="10"/>
    </row>
    <row r="333" spans="1:39" ht="12" customHeight="1" x14ac:dyDescent="0.2">
      <c r="A333" s="1" t="s">
        <v>162</v>
      </c>
      <c r="C333" s="1" t="s">
        <v>784</v>
      </c>
      <c r="E333" s="76">
        <v>16021.64</v>
      </c>
      <c r="F333" s="76"/>
      <c r="G333" s="76">
        <v>0</v>
      </c>
      <c r="H333" s="76"/>
      <c r="I333" s="76">
        <v>22645.71</v>
      </c>
      <c r="J333" s="76"/>
      <c r="K333" s="76">
        <v>607.15</v>
      </c>
      <c r="L333" s="76"/>
      <c r="M333" s="76">
        <v>0</v>
      </c>
      <c r="N333" s="76"/>
      <c r="O333" s="76">
        <v>2001.63</v>
      </c>
      <c r="P333" s="76"/>
      <c r="Q333" s="76">
        <v>0</v>
      </c>
      <c r="R333" s="76"/>
      <c r="S333" s="76">
        <v>50</v>
      </c>
      <c r="T333" s="76"/>
      <c r="U333" s="76">
        <v>0</v>
      </c>
      <c r="V333" s="76"/>
      <c r="W333" s="76">
        <v>0</v>
      </c>
      <c r="X333" s="76"/>
      <c r="Y333" s="76">
        <v>0</v>
      </c>
      <c r="Z333" s="76"/>
      <c r="AA333" s="76">
        <v>0</v>
      </c>
      <c r="AB333" s="76"/>
      <c r="AC333" s="76">
        <v>0</v>
      </c>
      <c r="AD333" s="76"/>
      <c r="AE333" s="76">
        <v>0</v>
      </c>
      <c r="AF333" s="76"/>
      <c r="AG333" s="76">
        <v>0</v>
      </c>
      <c r="AH333"/>
      <c r="AI333" s="76">
        <f t="shared" si="4"/>
        <v>41326.129999999997</v>
      </c>
      <c r="AJ333" s="10"/>
    </row>
    <row r="334" spans="1:39" s="21" customFormat="1" ht="12" customHeight="1" x14ac:dyDescent="0.2">
      <c r="A334" s="1" t="s">
        <v>111</v>
      </c>
      <c r="B334" s="1"/>
      <c r="C334" s="1" t="s">
        <v>768</v>
      </c>
      <c r="D334" s="1"/>
      <c r="E334" s="76">
        <v>50858.87</v>
      </c>
      <c r="F334" s="76"/>
      <c r="G334" s="76">
        <v>0</v>
      </c>
      <c r="H334" s="76"/>
      <c r="I334" s="76">
        <v>8916.5400000000009</v>
      </c>
      <c r="J334" s="76"/>
      <c r="K334" s="76">
        <v>0</v>
      </c>
      <c r="L334" s="76"/>
      <c r="M334" s="76">
        <v>19393.09</v>
      </c>
      <c r="N334" s="76"/>
      <c r="O334" s="76">
        <v>14517</v>
      </c>
      <c r="P334" s="76"/>
      <c r="Q334" s="76">
        <v>1118.5899999999999</v>
      </c>
      <c r="R334" s="76"/>
      <c r="S334" s="76">
        <v>21271</v>
      </c>
      <c r="T334" s="76"/>
      <c r="U334" s="76">
        <v>0</v>
      </c>
      <c r="V334" s="76"/>
      <c r="W334" s="76">
        <v>0</v>
      </c>
      <c r="X334" s="76"/>
      <c r="Y334" s="76">
        <v>0</v>
      </c>
      <c r="Z334" s="76"/>
      <c r="AA334" s="76">
        <v>0</v>
      </c>
      <c r="AB334" s="76"/>
      <c r="AC334" s="76">
        <v>0</v>
      </c>
      <c r="AD334" s="76"/>
      <c r="AE334" s="76">
        <v>0</v>
      </c>
      <c r="AF334" s="76"/>
      <c r="AG334" s="76">
        <v>0</v>
      </c>
      <c r="AH334"/>
      <c r="AI334" s="76">
        <f t="shared" si="4"/>
        <v>116075.09</v>
      </c>
      <c r="AJ334" s="10"/>
      <c r="AK334" s="1"/>
      <c r="AL334" s="1"/>
      <c r="AM334" s="1"/>
    </row>
    <row r="335" spans="1:39" ht="12" customHeight="1" x14ac:dyDescent="0.2">
      <c r="A335" s="1" t="s">
        <v>926</v>
      </c>
      <c r="C335" s="1" t="s">
        <v>767</v>
      </c>
      <c r="E335" s="76">
        <v>27451.25</v>
      </c>
      <c r="F335" s="76"/>
      <c r="G335" s="76">
        <v>369188.05</v>
      </c>
      <c r="H335" s="76"/>
      <c r="I335" s="76">
        <v>39962.22</v>
      </c>
      <c r="J335" s="76"/>
      <c r="K335" s="76">
        <v>68.25</v>
      </c>
      <c r="L335" s="76"/>
      <c r="M335" s="76">
        <v>218</v>
      </c>
      <c r="N335" s="76"/>
      <c r="O335" s="76">
        <v>2738.5</v>
      </c>
      <c r="P335" s="76"/>
      <c r="Q335" s="76">
        <v>3500.98</v>
      </c>
      <c r="R335" s="76"/>
      <c r="S335" s="76">
        <v>13894.63</v>
      </c>
      <c r="T335" s="76"/>
      <c r="U335" s="76">
        <v>0</v>
      </c>
      <c r="V335" s="76"/>
      <c r="W335" s="76">
        <v>0</v>
      </c>
      <c r="X335" s="76"/>
      <c r="Y335" s="76">
        <v>0</v>
      </c>
      <c r="Z335" s="76"/>
      <c r="AA335" s="76">
        <v>0</v>
      </c>
      <c r="AB335" s="76"/>
      <c r="AC335" s="76">
        <v>0</v>
      </c>
      <c r="AD335" s="76"/>
      <c r="AE335" s="76">
        <v>0</v>
      </c>
      <c r="AF335" s="76"/>
      <c r="AG335" s="76">
        <v>0</v>
      </c>
      <c r="AH335"/>
      <c r="AI335" s="76">
        <f t="shared" si="4"/>
        <v>457021.88</v>
      </c>
      <c r="AJ335" s="10"/>
    </row>
    <row r="336" spans="1:39" ht="12" customHeight="1" x14ac:dyDescent="0.2">
      <c r="A336" s="1" t="s">
        <v>29</v>
      </c>
      <c r="C336" s="1" t="s">
        <v>744</v>
      </c>
      <c r="E336" s="76">
        <v>10204.26</v>
      </c>
      <c r="F336" s="76"/>
      <c r="G336" s="76">
        <v>0</v>
      </c>
      <c r="H336" s="76"/>
      <c r="I336" s="76">
        <v>16962.12</v>
      </c>
      <c r="J336" s="76"/>
      <c r="K336" s="76">
        <v>0</v>
      </c>
      <c r="L336" s="76"/>
      <c r="M336" s="76">
        <v>0</v>
      </c>
      <c r="N336" s="76"/>
      <c r="O336" s="76">
        <v>0</v>
      </c>
      <c r="P336" s="76"/>
      <c r="Q336" s="76">
        <v>82.42</v>
      </c>
      <c r="R336" s="76"/>
      <c r="S336" s="76">
        <v>0</v>
      </c>
      <c r="T336" s="76"/>
      <c r="U336" s="76">
        <v>0</v>
      </c>
      <c r="V336" s="76"/>
      <c r="W336" s="76">
        <v>0</v>
      </c>
      <c r="X336" s="76"/>
      <c r="Y336" s="76">
        <v>0</v>
      </c>
      <c r="Z336" s="76"/>
      <c r="AA336" s="76">
        <v>0</v>
      </c>
      <c r="AB336" s="76"/>
      <c r="AC336" s="76">
        <v>0</v>
      </c>
      <c r="AD336" s="76"/>
      <c r="AE336" s="76">
        <v>0</v>
      </c>
      <c r="AF336" s="76"/>
      <c r="AG336" s="76">
        <v>0</v>
      </c>
      <c r="AH336"/>
      <c r="AI336" s="76">
        <f t="shared" si="4"/>
        <v>27248.799999999996</v>
      </c>
      <c r="AJ336" s="10"/>
      <c r="AK336" s="7"/>
      <c r="AL336" s="7"/>
      <c r="AM336" s="7"/>
    </row>
    <row r="337" spans="1:39" ht="12" customHeight="1" x14ac:dyDescent="0.2">
      <c r="A337" s="1" t="s">
        <v>43</v>
      </c>
      <c r="C337" s="1" t="s">
        <v>749</v>
      </c>
      <c r="E337" s="76">
        <v>46566.43</v>
      </c>
      <c r="F337" s="76"/>
      <c r="G337" s="76">
        <v>0</v>
      </c>
      <c r="H337" s="76"/>
      <c r="I337" s="76">
        <v>50806.37</v>
      </c>
      <c r="J337" s="76"/>
      <c r="K337" s="76">
        <v>0</v>
      </c>
      <c r="L337" s="76"/>
      <c r="M337" s="76">
        <v>80</v>
      </c>
      <c r="N337" s="76"/>
      <c r="O337" s="76">
        <v>33208.550000000003</v>
      </c>
      <c r="P337" s="76"/>
      <c r="Q337" s="76">
        <v>482.38</v>
      </c>
      <c r="R337" s="76"/>
      <c r="S337" s="76">
        <v>215656.4</v>
      </c>
      <c r="T337" s="76"/>
      <c r="U337" s="76">
        <v>0</v>
      </c>
      <c r="V337" s="76"/>
      <c r="W337" s="76">
        <v>0</v>
      </c>
      <c r="X337" s="76"/>
      <c r="Y337" s="76">
        <v>0</v>
      </c>
      <c r="Z337" s="76"/>
      <c r="AA337" s="76">
        <v>380000</v>
      </c>
      <c r="AB337" s="76"/>
      <c r="AC337" s="76">
        <v>9522.4500000000007</v>
      </c>
      <c r="AD337" s="76"/>
      <c r="AE337" s="76">
        <v>204.63</v>
      </c>
      <c r="AF337" s="76"/>
      <c r="AG337" s="76">
        <v>0</v>
      </c>
      <c r="AH337"/>
      <c r="AI337" s="76">
        <f t="shared" si="4"/>
        <v>736527.21</v>
      </c>
      <c r="AJ337" s="10"/>
      <c r="AK337" s="7"/>
      <c r="AL337" s="7"/>
      <c r="AM337" s="7"/>
    </row>
    <row r="338" spans="1:39" s="21" customFormat="1" ht="12" customHeight="1" x14ac:dyDescent="0.2">
      <c r="A338" s="1" t="s">
        <v>890</v>
      </c>
      <c r="B338" s="1"/>
      <c r="C338" s="1" t="s">
        <v>513</v>
      </c>
      <c r="D338" s="1"/>
      <c r="E338" s="76">
        <v>2467257</v>
      </c>
      <c r="F338" s="76"/>
      <c r="G338" s="76">
        <v>0</v>
      </c>
      <c r="H338" s="76"/>
      <c r="I338" s="76">
        <v>0</v>
      </c>
      <c r="J338" s="76"/>
      <c r="K338" s="76">
        <v>0</v>
      </c>
      <c r="L338" s="76"/>
      <c r="M338" s="76">
        <v>37770</v>
      </c>
      <c r="N338" s="76"/>
      <c r="O338" s="76">
        <v>12627</v>
      </c>
      <c r="P338" s="76"/>
      <c r="Q338" s="76">
        <v>0</v>
      </c>
      <c r="R338" s="76"/>
      <c r="S338" s="76">
        <v>67242</v>
      </c>
      <c r="T338" s="76"/>
      <c r="U338" s="76">
        <v>0</v>
      </c>
      <c r="V338" s="76"/>
      <c r="W338" s="76">
        <v>275000</v>
      </c>
      <c r="X338" s="76"/>
      <c r="Y338" s="76">
        <v>0</v>
      </c>
      <c r="Z338" s="76"/>
      <c r="AA338" s="76">
        <v>1372143</v>
      </c>
      <c r="AB338" s="76"/>
      <c r="AC338" s="76">
        <v>0</v>
      </c>
      <c r="AD338" s="76"/>
      <c r="AE338" s="76">
        <v>4100</v>
      </c>
      <c r="AF338" s="76"/>
      <c r="AG338" s="76">
        <v>0</v>
      </c>
      <c r="AH338" s="79"/>
      <c r="AI338" s="76">
        <f t="shared" si="4"/>
        <v>4236139</v>
      </c>
      <c r="AJ338" s="10"/>
      <c r="AK338" s="1"/>
      <c r="AL338" s="1"/>
      <c r="AM338" s="1"/>
    </row>
    <row r="339" spans="1:39" ht="12" customHeight="1" x14ac:dyDescent="0.2">
      <c r="A339" s="1" t="s">
        <v>508</v>
      </c>
      <c r="C339" s="1" t="s">
        <v>509</v>
      </c>
      <c r="E339" s="76">
        <v>107411</v>
      </c>
      <c r="F339" s="76"/>
      <c r="G339" s="76">
        <v>757403</v>
      </c>
      <c r="H339" s="76"/>
      <c r="I339" s="76">
        <v>71603</v>
      </c>
      <c r="J339" s="76"/>
      <c r="K339" s="76">
        <v>0</v>
      </c>
      <c r="L339" s="76"/>
      <c r="M339" s="76">
        <v>274778</v>
      </c>
      <c r="N339" s="76"/>
      <c r="O339" s="76">
        <v>1174</v>
      </c>
      <c r="P339" s="76"/>
      <c r="Q339" s="76">
        <v>1720</v>
      </c>
      <c r="R339" s="76"/>
      <c r="S339" s="76">
        <v>200</v>
      </c>
      <c r="T339" s="76"/>
      <c r="U339" s="76">
        <v>0</v>
      </c>
      <c r="V339" s="76"/>
      <c r="W339" s="76">
        <v>0</v>
      </c>
      <c r="X339" s="76"/>
      <c r="Y339" s="76">
        <v>0</v>
      </c>
      <c r="Z339" s="76"/>
      <c r="AA339" s="76">
        <v>215197</v>
      </c>
      <c r="AB339" s="76"/>
      <c r="AC339" s="76">
        <v>0</v>
      </c>
      <c r="AD339" s="76"/>
      <c r="AE339" s="76">
        <v>2869</v>
      </c>
      <c r="AF339" s="76"/>
      <c r="AG339" s="76">
        <v>0</v>
      </c>
      <c r="AH339" s="76"/>
      <c r="AI339" s="76">
        <f t="shared" si="4"/>
        <v>1432355</v>
      </c>
      <c r="AJ339" s="10"/>
    </row>
    <row r="340" spans="1:39" s="21" customFormat="1" ht="12" customHeight="1" x14ac:dyDescent="0.2">
      <c r="A340" s="1" t="s">
        <v>165</v>
      </c>
      <c r="B340" s="1"/>
      <c r="C340" s="1" t="s">
        <v>785</v>
      </c>
      <c r="D340" s="1"/>
      <c r="E340" s="76">
        <v>25703.599999999999</v>
      </c>
      <c r="F340" s="76"/>
      <c r="G340" s="76">
        <v>0</v>
      </c>
      <c r="H340" s="76"/>
      <c r="I340" s="76">
        <v>3957.7</v>
      </c>
      <c r="J340" s="76"/>
      <c r="K340" s="76">
        <v>0</v>
      </c>
      <c r="L340" s="76"/>
      <c r="M340" s="76">
        <v>0</v>
      </c>
      <c r="N340" s="76"/>
      <c r="O340" s="76">
        <v>0</v>
      </c>
      <c r="P340" s="76"/>
      <c r="Q340" s="76">
        <v>0</v>
      </c>
      <c r="R340" s="76"/>
      <c r="S340" s="76">
        <v>0</v>
      </c>
      <c r="T340" s="76"/>
      <c r="U340" s="76">
        <v>0</v>
      </c>
      <c r="V340" s="76"/>
      <c r="W340" s="76">
        <v>0</v>
      </c>
      <c r="X340" s="76"/>
      <c r="Y340" s="76">
        <v>0</v>
      </c>
      <c r="Z340" s="76"/>
      <c r="AA340" s="76">
        <v>0</v>
      </c>
      <c r="AB340" s="76"/>
      <c r="AC340" s="76">
        <v>0</v>
      </c>
      <c r="AD340" s="76"/>
      <c r="AE340" s="76">
        <v>0</v>
      </c>
      <c r="AF340" s="76"/>
      <c r="AG340" s="76">
        <v>0</v>
      </c>
      <c r="AH340" s="81"/>
      <c r="AI340" s="76">
        <f t="shared" ref="AI340:AI406" si="5">SUM(E340:AG340)</f>
        <v>29661.3</v>
      </c>
      <c r="AJ340" s="10"/>
      <c r="AK340" s="1"/>
      <c r="AL340" s="1"/>
      <c r="AM340" s="1"/>
    </row>
    <row r="341" spans="1:39" s="21" customFormat="1" ht="12" customHeight="1" x14ac:dyDescent="0.2">
      <c r="A341" s="1" t="s">
        <v>520</v>
      </c>
      <c r="B341" s="1"/>
      <c r="C341" s="1" t="s">
        <v>519</v>
      </c>
      <c r="D341" s="1"/>
      <c r="E341" s="76">
        <v>1776395</v>
      </c>
      <c r="F341" s="76"/>
      <c r="G341" s="76">
        <v>0</v>
      </c>
      <c r="H341" s="76"/>
      <c r="I341" s="76">
        <v>0</v>
      </c>
      <c r="J341" s="76"/>
      <c r="K341" s="76">
        <v>0</v>
      </c>
      <c r="L341" s="76"/>
      <c r="M341" s="76">
        <v>73151</v>
      </c>
      <c r="N341" s="76"/>
      <c r="O341" s="76">
        <v>68897</v>
      </c>
      <c r="P341" s="76"/>
      <c r="Q341" s="76">
        <v>3133</v>
      </c>
      <c r="R341" s="76"/>
      <c r="S341" s="76">
        <v>404901</v>
      </c>
      <c r="T341" s="76"/>
      <c r="U341" s="76">
        <v>0</v>
      </c>
      <c r="V341" s="76"/>
      <c r="W341" s="76">
        <v>0</v>
      </c>
      <c r="X341" s="76"/>
      <c r="Y341" s="76">
        <v>0</v>
      </c>
      <c r="Z341" s="76"/>
      <c r="AA341" s="76">
        <v>0</v>
      </c>
      <c r="AB341" s="76"/>
      <c r="AC341" s="76">
        <v>0</v>
      </c>
      <c r="AD341" s="76"/>
      <c r="AE341" s="76">
        <v>35256</v>
      </c>
      <c r="AF341" s="76"/>
      <c r="AG341" s="76">
        <v>0</v>
      </c>
      <c r="AH341" s="76"/>
      <c r="AI341" s="76">
        <f t="shared" si="5"/>
        <v>2361733</v>
      </c>
      <c r="AJ341" s="10"/>
      <c r="AK341" s="1"/>
      <c r="AL341" s="1"/>
      <c r="AM341" s="1"/>
    </row>
    <row r="342" spans="1:39" ht="12" customHeight="1" x14ac:dyDescent="0.2">
      <c r="A342" s="1" t="s">
        <v>106</v>
      </c>
      <c r="C342" s="1" t="s">
        <v>766</v>
      </c>
      <c r="E342" s="76">
        <v>29176.57</v>
      </c>
      <c r="F342" s="76"/>
      <c r="G342" s="76">
        <v>145784.19</v>
      </c>
      <c r="H342" s="76"/>
      <c r="I342" s="76">
        <v>40940.019999999997</v>
      </c>
      <c r="J342" s="76"/>
      <c r="K342" s="76">
        <v>0</v>
      </c>
      <c r="L342" s="76"/>
      <c r="M342" s="76">
        <v>9794.65</v>
      </c>
      <c r="N342" s="76"/>
      <c r="O342" s="76">
        <v>9765.33</v>
      </c>
      <c r="P342" s="76"/>
      <c r="Q342" s="76">
        <v>5129.6099999999997</v>
      </c>
      <c r="R342" s="76"/>
      <c r="S342" s="76">
        <v>4444.05</v>
      </c>
      <c r="T342" s="76"/>
      <c r="U342" s="76">
        <v>0</v>
      </c>
      <c r="V342" s="76"/>
      <c r="W342" s="76">
        <v>0</v>
      </c>
      <c r="X342" s="76"/>
      <c r="Y342" s="76">
        <v>0</v>
      </c>
      <c r="Z342" s="76"/>
      <c r="AA342" s="76">
        <v>0</v>
      </c>
      <c r="AB342" s="76"/>
      <c r="AC342" s="76">
        <v>0</v>
      </c>
      <c r="AD342" s="76"/>
      <c r="AE342" s="76">
        <v>0</v>
      </c>
      <c r="AF342" s="76"/>
      <c r="AG342" s="76">
        <v>0</v>
      </c>
      <c r="AH342"/>
      <c r="AI342" s="76">
        <f t="shared" si="5"/>
        <v>245034.41999999995</v>
      </c>
      <c r="AJ342" s="10"/>
      <c r="AK342" s="21"/>
      <c r="AL342" s="21"/>
      <c r="AM342" s="21"/>
    </row>
    <row r="343" spans="1:39" ht="12" hidden="1" customHeight="1" x14ac:dyDescent="0.2">
      <c r="A343" s="1" t="s">
        <v>226</v>
      </c>
      <c r="C343" s="1" t="s">
        <v>540</v>
      </c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/>
      <c r="AI343" s="76">
        <f t="shared" si="5"/>
        <v>0</v>
      </c>
      <c r="AJ343" s="10"/>
      <c r="AK343" s="21"/>
      <c r="AL343" s="21"/>
      <c r="AM343" s="21"/>
    </row>
    <row r="344" spans="1:39" ht="12" customHeight="1" x14ac:dyDescent="0.2">
      <c r="A344" s="1" t="s">
        <v>383</v>
      </c>
      <c r="C344" s="1" t="s">
        <v>378</v>
      </c>
      <c r="E344" s="76">
        <v>277619</v>
      </c>
      <c r="F344" s="76"/>
      <c r="G344" s="76">
        <v>506665</v>
      </c>
      <c r="H344" s="76"/>
      <c r="I344" s="76">
        <v>244520</v>
      </c>
      <c r="J344" s="76"/>
      <c r="K344" s="76">
        <v>0</v>
      </c>
      <c r="L344" s="76"/>
      <c r="M344" s="76">
        <v>209294</v>
      </c>
      <c r="N344" s="76"/>
      <c r="O344" s="76">
        <v>163236</v>
      </c>
      <c r="P344" s="76"/>
      <c r="Q344" s="76">
        <v>47</v>
      </c>
      <c r="R344" s="76"/>
      <c r="S344" s="76">
        <v>19164</v>
      </c>
      <c r="T344" s="76"/>
      <c r="U344" s="76">
        <v>0</v>
      </c>
      <c r="V344" s="76"/>
      <c r="W344" s="76">
        <v>0</v>
      </c>
      <c r="X344" s="76"/>
      <c r="Y344" s="76">
        <v>0</v>
      </c>
      <c r="Z344" s="76"/>
      <c r="AA344" s="76">
        <v>0</v>
      </c>
      <c r="AB344" s="76"/>
      <c r="AC344" s="76">
        <v>0</v>
      </c>
      <c r="AD344" s="76"/>
      <c r="AE344" s="76">
        <v>0</v>
      </c>
      <c r="AF344" s="76"/>
      <c r="AG344" s="76">
        <v>0</v>
      </c>
      <c r="AH344" s="76"/>
      <c r="AI344" s="76">
        <f t="shared" si="5"/>
        <v>1420545</v>
      </c>
      <c r="AJ344" s="10"/>
    </row>
    <row r="345" spans="1:39" s="21" customFormat="1" ht="12" customHeight="1" x14ac:dyDescent="0.2">
      <c r="A345" s="1" t="s">
        <v>215</v>
      </c>
      <c r="B345" s="1"/>
      <c r="C345" s="1" t="s">
        <v>800</v>
      </c>
      <c r="D345" s="1"/>
      <c r="E345" s="76">
        <v>39683.06</v>
      </c>
      <c r="F345" s="76"/>
      <c r="G345" s="76">
        <v>0</v>
      </c>
      <c r="H345" s="76"/>
      <c r="I345" s="76">
        <v>30289.4</v>
      </c>
      <c r="J345" s="76"/>
      <c r="K345" s="76">
        <v>0</v>
      </c>
      <c r="L345" s="76"/>
      <c r="M345" s="76">
        <v>0</v>
      </c>
      <c r="N345" s="76"/>
      <c r="O345" s="76">
        <v>367.65</v>
      </c>
      <c r="P345" s="76"/>
      <c r="Q345" s="76">
        <v>139.83000000000001</v>
      </c>
      <c r="R345" s="76"/>
      <c r="S345" s="76">
        <v>346.25</v>
      </c>
      <c r="T345" s="76"/>
      <c r="U345" s="76">
        <v>0</v>
      </c>
      <c r="V345" s="76"/>
      <c r="W345" s="76">
        <v>0</v>
      </c>
      <c r="X345" s="76"/>
      <c r="Y345" s="76">
        <v>0</v>
      </c>
      <c r="Z345" s="76"/>
      <c r="AA345" s="76">
        <v>0</v>
      </c>
      <c r="AB345" s="76"/>
      <c r="AC345" s="76">
        <v>0</v>
      </c>
      <c r="AD345" s="76"/>
      <c r="AE345" s="76">
        <v>0</v>
      </c>
      <c r="AF345" s="76"/>
      <c r="AG345" s="76">
        <v>0</v>
      </c>
      <c r="AH345" s="81"/>
      <c r="AI345" s="76">
        <f t="shared" si="5"/>
        <v>70826.189999999988</v>
      </c>
      <c r="AJ345" s="10"/>
    </row>
    <row r="346" spans="1:39" s="21" customFormat="1" ht="12" customHeight="1" x14ac:dyDescent="0.2">
      <c r="A346" s="1" t="s">
        <v>833</v>
      </c>
      <c r="B346" s="1"/>
      <c r="C346" s="1" t="s">
        <v>751</v>
      </c>
      <c r="D346" s="1"/>
      <c r="E346" s="76">
        <v>7017.1</v>
      </c>
      <c r="F346" s="76"/>
      <c r="G346" s="76">
        <v>78439.64</v>
      </c>
      <c r="H346" s="76"/>
      <c r="I346" s="76">
        <v>10577.24</v>
      </c>
      <c r="J346" s="76"/>
      <c r="K346" s="76">
        <v>0</v>
      </c>
      <c r="L346" s="76"/>
      <c r="M346" s="76">
        <v>14265</v>
      </c>
      <c r="N346" s="76"/>
      <c r="O346" s="76">
        <v>865674.58</v>
      </c>
      <c r="P346" s="76"/>
      <c r="Q346" s="76">
        <v>1.1499999999999999</v>
      </c>
      <c r="R346" s="76"/>
      <c r="S346" s="76">
        <v>7998.59</v>
      </c>
      <c r="T346" s="76"/>
      <c r="U346" s="76">
        <v>0</v>
      </c>
      <c r="V346" s="76"/>
      <c r="W346" s="76">
        <v>0</v>
      </c>
      <c r="X346" s="76"/>
      <c r="Y346" s="76">
        <v>0</v>
      </c>
      <c r="Z346" s="76"/>
      <c r="AA346" s="76">
        <v>3000</v>
      </c>
      <c r="AB346" s="76"/>
      <c r="AC346" s="76">
        <v>45487.68</v>
      </c>
      <c r="AD346" s="76"/>
      <c r="AE346" s="76">
        <v>0</v>
      </c>
      <c r="AF346" s="76"/>
      <c r="AG346" s="76">
        <v>0</v>
      </c>
      <c r="AH346"/>
      <c r="AI346" s="76">
        <f t="shared" si="5"/>
        <v>1032460.98</v>
      </c>
      <c r="AJ346" s="10"/>
      <c r="AK346" s="7"/>
      <c r="AL346" s="7"/>
      <c r="AM346" s="7"/>
    </row>
    <row r="347" spans="1:39" s="21" customFormat="1" ht="12" customHeight="1" x14ac:dyDescent="0.2">
      <c r="A347" s="1" t="s">
        <v>44</v>
      </c>
      <c r="B347" s="1"/>
      <c r="C347" s="1" t="s">
        <v>749</v>
      </c>
      <c r="D347" s="1"/>
      <c r="E347" s="76">
        <v>120361.85</v>
      </c>
      <c r="F347" s="76"/>
      <c r="G347" s="76">
        <v>1087468.6100000001</v>
      </c>
      <c r="H347" s="76"/>
      <c r="I347" s="76">
        <v>72161.02</v>
      </c>
      <c r="J347" s="76"/>
      <c r="K347" s="76">
        <v>0</v>
      </c>
      <c r="L347" s="76"/>
      <c r="M347" s="76">
        <v>44748.88</v>
      </c>
      <c r="N347" s="76"/>
      <c r="O347" s="76">
        <v>42840.47</v>
      </c>
      <c r="P347" s="76"/>
      <c r="Q347" s="76">
        <v>4.6500000000000004</v>
      </c>
      <c r="R347" s="76"/>
      <c r="S347" s="76">
        <v>908</v>
      </c>
      <c r="T347" s="76"/>
      <c r="U347" s="76">
        <v>0</v>
      </c>
      <c r="V347" s="76"/>
      <c r="W347" s="76">
        <v>0</v>
      </c>
      <c r="X347" s="76"/>
      <c r="Y347" s="76">
        <v>0</v>
      </c>
      <c r="Z347" s="76"/>
      <c r="AA347" s="76">
        <v>38625.35</v>
      </c>
      <c r="AB347" s="76"/>
      <c r="AC347" s="76">
        <v>0</v>
      </c>
      <c r="AD347" s="76"/>
      <c r="AE347" s="76">
        <v>9524.81</v>
      </c>
      <c r="AF347" s="76"/>
      <c r="AG347" s="76">
        <v>0</v>
      </c>
      <c r="AH347" s="81"/>
      <c r="AI347" s="76">
        <f t="shared" si="5"/>
        <v>1416643.6400000001</v>
      </c>
      <c r="AJ347" s="10"/>
      <c r="AK347" s="7"/>
      <c r="AL347" s="7"/>
      <c r="AM347" s="7"/>
    </row>
    <row r="348" spans="1:39" s="21" customFormat="1" ht="12" customHeight="1" x14ac:dyDescent="0.2">
      <c r="A348" s="1" t="s">
        <v>912</v>
      </c>
      <c r="B348" s="1"/>
      <c r="C348" s="1" t="s">
        <v>350</v>
      </c>
      <c r="D348" s="1"/>
      <c r="E348" s="76">
        <v>50543.94</v>
      </c>
      <c r="F348" s="76"/>
      <c r="G348" s="76">
        <v>312355.40999999997</v>
      </c>
      <c r="H348" s="76"/>
      <c r="I348" s="76">
        <v>42482.13</v>
      </c>
      <c r="J348" s="76"/>
      <c r="K348" s="76">
        <v>0</v>
      </c>
      <c r="L348" s="76"/>
      <c r="M348" s="76">
        <v>2206.0300000000002</v>
      </c>
      <c r="N348" s="76"/>
      <c r="O348" s="76">
        <v>56747.08</v>
      </c>
      <c r="P348" s="76"/>
      <c r="Q348" s="76">
        <v>221.29</v>
      </c>
      <c r="R348" s="76"/>
      <c r="S348" s="76">
        <v>0</v>
      </c>
      <c r="T348" s="76"/>
      <c r="U348" s="76">
        <v>0</v>
      </c>
      <c r="V348" s="76"/>
      <c r="W348" s="76">
        <v>0</v>
      </c>
      <c r="X348" s="76"/>
      <c r="Y348" s="76">
        <v>0</v>
      </c>
      <c r="Z348" s="76"/>
      <c r="AA348" s="76">
        <v>0</v>
      </c>
      <c r="AB348" s="76"/>
      <c r="AC348" s="76">
        <v>49000</v>
      </c>
      <c r="AD348" s="76"/>
      <c r="AE348" s="76">
        <v>31119.88</v>
      </c>
      <c r="AF348" s="76"/>
      <c r="AG348" s="76">
        <v>0</v>
      </c>
      <c r="AH348" s="81"/>
      <c r="AI348" s="76">
        <f t="shared" si="5"/>
        <v>544675.76</v>
      </c>
      <c r="AJ348" s="10"/>
      <c r="AK348" s="7"/>
      <c r="AL348" s="7"/>
      <c r="AM348" s="7"/>
    </row>
    <row r="349" spans="1:39" s="21" customFormat="1" ht="12" customHeight="1" x14ac:dyDescent="0.2">
      <c r="A349" s="1" t="s">
        <v>927</v>
      </c>
      <c r="B349" s="1"/>
      <c r="C349" s="1" t="s">
        <v>758</v>
      </c>
      <c r="D349" s="1"/>
      <c r="E349" s="76">
        <v>7695.02</v>
      </c>
      <c r="F349" s="76"/>
      <c r="G349" s="76">
        <v>64420.51</v>
      </c>
      <c r="H349" s="76"/>
      <c r="I349" s="76">
        <v>29406.01</v>
      </c>
      <c r="J349" s="76"/>
      <c r="K349" s="76">
        <v>0</v>
      </c>
      <c r="L349" s="76"/>
      <c r="M349" s="76">
        <v>0</v>
      </c>
      <c r="N349" s="76"/>
      <c r="O349" s="76">
        <v>2732.46</v>
      </c>
      <c r="P349" s="76"/>
      <c r="Q349" s="76">
        <v>99.24</v>
      </c>
      <c r="R349" s="76"/>
      <c r="S349" s="76">
        <v>983</v>
      </c>
      <c r="T349" s="76"/>
      <c r="U349" s="76">
        <v>0</v>
      </c>
      <c r="V349" s="76"/>
      <c r="W349" s="76">
        <v>0</v>
      </c>
      <c r="X349" s="76"/>
      <c r="Y349" s="76">
        <v>0</v>
      </c>
      <c r="Z349" s="76"/>
      <c r="AA349" s="76">
        <v>0</v>
      </c>
      <c r="AB349" s="76"/>
      <c r="AC349" s="76">
        <v>0</v>
      </c>
      <c r="AD349" s="76"/>
      <c r="AE349" s="76">
        <v>0</v>
      </c>
      <c r="AF349" s="76"/>
      <c r="AG349" s="76">
        <v>0</v>
      </c>
      <c r="AH349"/>
      <c r="AI349" s="76">
        <f t="shared" si="5"/>
        <v>105336.24</v>
      </c>
      <c r="AJ349" s="10"/>
      <c r="AK349" s="7"/>
      <c r="AL349" s="7"/>
      <c r="AM349" s="7"/>
    </row>
    <row r="350" spans="1:39" ht="12" customHeight="1" x14ac:dyDescent="0.2">
      <c r="A350" s="1" t="s">
        <v>537</v>
      </c>
      <c r="C350" s="1" t="s">
        <v>536</v>
      </c>
      <c r="E350" s="76">
        <v>2947</v>
      </c>
      <c r="F350" s="76"/>
      <c r="G350" s="76">
        <v>0</v>
      </c>
      <c r="H350" s="76"/>
      <c r="I350" s="76">
        <v>10797</v>
      </c>
      <c r="J350" s="76"/>
      <c r="K350" s="76">
        <v>0</v>
      </c>
      <c r="L350" s="76"/>
      <c r="M350" s="76">
        <v>0</v>
      </c>
      <c r="N350" s="76"/>
      <c r="O350" s="76">
        <v>64</v>
      </c>
      <c r="P350" s="76"/>
      <c r="Q350" s="76">
        <v>0</v>
      </c>
      <c r="R350" s="76"/>
      <c r="S350" s="76">
        <v>0</v>
      </c>
      <c r="T350" s="76"/>
      <c r="U350" s="76">
        <v>0</v>
      </c>
      <c r="V350" s="76"/>
      <c r="W350" s="76">
        <v>0</v>
      </c>
      <c r="X350" s="76"/>
      <c r="Y350" s="76">
        <v>0</v>
      </c>
      <c r="Z350" s="76"/>
      <c r="AA350" s="76">
        <v>0</v>
      </c>
      <c r="AB350" s="76"/>
      <c r="AC350" s="76">
        <v>0</v>
      </c>
      <c r="AD350" s="76"/>
      <c r="AE350" s="76">
        <v>0</v>
      </c>
      <c r="AF350" s="76"/>
      <c r="AG350" s="76">
        <v>0</v>
      </c>
      <c r="AH350" s="76"/>
      <c r="AI350" s="76">
        <f t="shared" si="5"/>
        <v>13808</v>
      </c>
      <c r="AJ350" s="10"/>
    </row>
    <row r="351" spans="1:39" ht="12" customHeight="1" x14ac:dyDescent="0.2">
      <c r="A351" s="1" t="s">
        <v>95</v>
      </c>
      <c r="C351" s="1" t="s">
        <v>763</v>
      </c>
      <c r="E351" s="76">
        <v>171146.53</v>
      </c>
      <c r="F351" s="76"/>
      <c r="G351" s="76">
        <v>2232146.9700000002</v>
      </c>
      <c r="H351" s="76"/>
      <c r="I351" s="76">
        <v>159267.85999999999</v>
      </c>
      <c r="J351" s="76"/>
      <c r="K351" s="76">
        <v>0</v>
      </c>
      <c r="L351" s="76"/>
      <c r="M351" s="76">
        <v>1197947.2</v>
      </c>
      <c r="N351" s="76"/>
      <c r="O351" s="76">
        <v>657943.85</v>
      </c>
      <c r="P351" s="76"/>
      <c r="Q351" s="76">
        <v>238.56</v>
      </c>
      <c r="R351" s="76"/>
      <c r="S351" s="76">
        <v>58774.62</v>
      </c>
      <c r="T351" s="76"/>
      <c r="U351" s="76">
        <v>0</v>
      </c>
      <c r="V351" s="76"/>
      <c r="W351" s="76">
        <v>0</v>
      </c>
      <c r="X351" s="76"/>
      <c r="Y351" s="76">
        <v>0</v>
      </c>
      <c r="Z351" s="76"/>
      <c r="AA351" s="76">
        <v>95000</v>
      </c>
      <c r="AB351" s="76"/>
      <c r="AC351" s="76">
        <v>48865.39</v>
      </c>
      <c r="AD351" s="76"/>
      <c r="AE351" s="76">
        <v>99191.3</v>
      </c>
      <c r="AF351" s="76"/>
      <c r="AG351" s="76">
        <v>0</v>
      </c>
      <c r="AH351" s="81"/>
      <c r="AI351" s="76">
        <f t="shared" si="5"/>
        <v>4720522.2799999984</v>
      </c>
      <c r="AJ351" s="10"/>
      <c r="AK351" s="21"/>
      <c r="AL351" s="21"/>
      <c r="AM351" s="21"/>
    </row>
    <row r="352" spans="1:39" s="21" customFormat="1" ht="12" customHeight="1" x14ac:dyDescent="0.2">
      <c r="A352" s="1" t="s">
        <v>948</v>
      </c>
      <c r="B352" s="1"/>
      <c r="C352" s="1" t="s">
        <v>949</v>
      </c>
      <c r="D352" s="1"/>
      <c r="E352" s="76">
        <v>393429</v>
      </c>
      <c r="F352" s="76"/>
      <c r="G352" s="76">
        <v>0</v>
      </c>
      <c r="H352" s="76"/>
      <c r="I352" s="76">
        <v>198266</v>
      </c>
      <c r="J352" s="76"/>
      <c r="K352" s="76">
        <v>0</v>
      </c>
      <c r="L352" s="76"/>
      <c r="M352" s="76">
        <v>339648</v>
      </c>
      <c r="N352" s="76"/>
      <c r="O352" s="76">
        <v>3597</v>
      </c>
      <c r="P352" s="76"/>
      <c r="Q352" s="76">
        <v>8076</v>
      </c>
      <c r="R352" s="76"/>
      <c r="S352" s="76">
        <v>0</v>
      </c>
      <c r="T352" s="76"/>
      <c r="U352" s="76">
        <v>0</v>
      </c>
      <c r="V352" s="76"/>
      <c r="W352" s="76">
        <v>0</v>
      </c>
      <c r="X352" s="76"/>
      <c r="Y352" s="76">
        <v>0</v>
      </c>
      <c r="Z352" s="76"/>
      <c r="AA352" s="76">
        <v>0</v>
      </c>
      <c r="AB352" s="76"/>
      <c r="AC352" s="76">
        <v>0</v>
      </c>
      <c r="AD352" s="76"/>
      <c r="AE352" s="76">
        <v>1321</v>
      </c>
      <c r="AF352" s="76"/>
      <c r="AG352" s="76">
        <v>0</v>
      </c>
      <c r="AH352" s="76"/>
      <c r="AI352" s="76">
        <f t="shared" si="5"/>
        <v>944337</v>
      </c>
      <c r="AJ352" s="10"/>
    </row>
    <row r="353" spans="1:39" s="21" customFormat="1" ht="12" customHeight="1" x14ac:dyDescent="0.2">
      <c r="A353" s="1" t="s">
        <v>555</v>
      </c>
      <c r="B353" s="1"/>
      <c r="C353" s="1" t="s">
        <v>556</v>
      </c>
      <c r="D353" s="1"/>
      <c r="E353" s="76">
        <v>118498</v>
      </c>
      <c r="F353" s="76"/>
      <c r="G353" s="76">
        <v>4038722</v>
      </c>
      <c r="H353" s="76"/>
      <c r="I353" s="76">
        <v>119354</v>
      </c>
      <c r="J353" s="76"/>
      <c r="K353" s="76">
        <v>0</v>
      </c>
      <c r="L353" s="76"/>
      <c r="M353" s="76">
        <v>151330</v>
      </c>
      <c r="N353" s="76"/>
      <c r="O353" s="76">
        <v>59295</v>
      </c>
      <c r="P353" s="76"/>
      <c r="Q353" s="76">
        <v>3555</v>
      </c>
      <c r="R353" s="76"/>
      <c r="S353" s="76">
        <v>156225</v>
      </c>
      <c r="T353" s="76"/>
      <c r="U353" s="76">
        <v>0</v>
      </c>
      <c r="V353" s="76"/>
      <c r="W353" s="76">
        <v>0</v>
      </c>
      <c r="X353" s="76"/>
      <c r="Y353" s="76">
        <v>0</v>
      </c>
      <c r="Z353" s="76"/>
      <c r="AA353" s="76">
        <v>1936</v>
      </c>
      <c r="AB353" s="76"/>
      <c r="AC353" s="76">
        <v>0</v>
      </c>
      <c r="AD353" s="76"/>
      <c r="AE353" s="76">
        <v>0</v>
      </c>
      <c r="AF353" s="76"/>
      <c r="AG353" s="76">
        <v>0</v>
      </c>
      <c r="AH353" s="76"/>
      <c r="AI353" s="76">
        <f t="shared" si="5"/>
        <v>4648915</v>
      </c>
      <c r="AJ353" s="10"/>
      <c r="AK353" s="1"/>
      <c r="AL353" s="1"/>
      <c r="AM353" s="1"/>
    </row>
    <row r="354" spans="1:39" ht="12" customHeight="1" x14ac:dyDescent="0.2">
      <c r="A354" s="1" t="s">
        <v>88</v>
      </c>
      <c r="C354" s="1" t="s">
        <v>762</v>
      </c>
      <c r="E354" s="76">
        <v>26230.98</v>
      </c>
      <c r="F354" s="76"/>
      <c r="G354" s="76">
        <v>0</v>
      </c>
      <c r="H354" s="76"/>
      <c r="I354" s="76">
        <v>15536.03</v>
      </c>
      <c r="J354" s="76"/>
      <c r="K354" s="76">
        <v>140</v>
      </c>
      <c r="L354" s="76"/>
      <c r="M354" s="76">
        <v>0</v>
      </c>
      <c r="N354" s="76"/>
      <c r="O354" s="76">
        <v>0</v>
      </c>
      <c r="P354" s="76"/>
      <c r="Q354" s="76">
        <v>38.4</v>
      </c>
      <c r="R354" s="76"/>
      <c r="S354" s="76">
        <v>17393</v>
      </c>
      <c r="T354" s="76"/>
      <c r="U354" s="76">
        <v>0</v>
      </c>
      <c r="V354" s="76"/>
      <c r="W354" s="76">
        <v>0</v>
      </c>
      <c r="X354" s="76"/>
      <c r="Y354" s="76">
        <v>0</v>
      </c>
      <c r="Z354" s="76"/>
      <c r="AA354" s="76">
        <v>337.85</v>
      </c>
      <c r="AB354" s="76"/>
      <c r="AC354" s="76">
        <v>0</v>
      </c>
      <c r="AD354" s="76"/>
      <c r="AE354" s="76">
        <v>0</v>
      </c>
      <c r="AF354" s="76"/>
      <c r="AG354" s="76">
        <v>45129.599999999999</v>
      </c>
      <c r="AH354" s="81"/>
      <c r="AI354" s="76">
        <f t="shared" si="5"/>
        <v>104805.86</v>
      </c>
      <c r="AJ354" s="10"/>
      <c r="AK354" s="21"/>
      <c r="AL354" s="21"/>
      <c r="AM354" s="21"/>
    </row>
    <row r="355" spans="1:39" ht="12" customHeight="1" x14ac:dyDescent="0.2">
      <c r="A355" s="1" t="s">
        <v>907</v>
      </c>
      <c r="C355" s="1" t="s">
        <v>666</v>
      </c>
      <c r="E355" s="76">
        <v>153617.9</v>
      </c>
      <c r="F355" s="76"/>
      <c r="G355" s="76">
        <v>0</v>
      </c>
      <c r="H355" s="76"/>
      <c r="I355" s="76">
        <v>164782.71</v>
      </c>
      <c r="J355" s="76"/>
      <c r="K355" s="76">
        <v>0</v>
      </c>
      <c r="L355" s="76"/>
      <c r="M355" s="76">
        <v>22439.5</v>
      </c>
      <c r="N355" s="76"/>
      <c r="O355" s="76">
        <v>21497.91</v>
      </c>
      <c r="P355" s="76"/>
      <c r="Q355" s="76">
        <v>1711.22</v>
      </c>
      <c r="R355" s="76"/>
      <c r="S355" s="76">
        <v>92319.51</v>
      </c>
      <c r="T355" s="76"/>
      <c r="U355" s="76">
        <v>0</v>
      </c>
      <c r="V355" s="76"/>
      <c r="W355" s="76">
        <v>0</v>
      </c>
      <c r="X355" s="76"/>
      <c r="Y355" s="76">
        <v>35550</v>
      </c>
      <c r="Z355" s="76"/>
      <c r="AA355" s="76">
        <v>335796.74</v>
      </c>
      <c r="AB355" s="76"/>
      <c r="AC355" s="76">
        <v>18000</v>
      </c>
      <c r="AD355" s="76"/>
      <c r="AE355" s="76">
        <v>0</v>
      </c>
      <c r="AF355" s="76"/>
      <c r="AG355" s="76">
        <v>0</v>
      </c>
      <c r="AH355"/>
      <c r="AI355" s="76">
        <f t="shared" si="5"/>
        <v>845715.49</v>
      </c>
      <c r="AJ355" s="10"/>
      <c r="AK355" s="21"/>
      <c r="AL355" s="21"/>
      <c r="AM355" s="21"/>
    </row>
    <row r="356" spans="1:39" s="21" customFormat="1" ht="12" customHeight="1" x14ac:dyDescent="0.2">
      <c r="A356" s="1" t="s">
        <v>245</v>
      </c>
      <c r="B356" s="1"/>
      <c r="C356" s="1" t="s">
        <v>810</v>
      </c>
      <c r="D356" s="1"/>
      <c r="E356" s="76">
        <v>11223.84</v>
      </c>
      <c r="F356" s="76"/>
      <c r="G356" s="76">
        <v>0</v>
      </c>
      <c r="H356" s="76"/>
      <c r="I356" s="76">
        <v>22204.18</v>
      </c>
      <c r="J356" s="76"/>
      <c r="K356" s="76">
        <v>0</v>
      </c>
      <c r="L356" s="76"/>
      <c r="M356" s="76">
        <v>0</v>
      </c>
      <c r="N356" s="76"/>
      <c r="O356" s="76">
        <v>25</v>
      </c>
      <c r="P356" s="76"/>
      <c r="Q356" s="76">
        <v>235.48</v>
      </c>
      <c r="R356" s="76"/>
      <c r="S356" s="76">
        <v>33338.67</v>
      </c>
      <c r="T356" s="76"/>
      <c r="U356" s="76">
        <v>0</v>
      </c>
      <c r="V356" s="76"/>
      <c r="W356" s="76">
        <v>0</v>
      </c>
      <c r="X356" s="76"/>
      <c r="Y356" s="76">
        <v>0</v>
      </c>
      <c r="Z356" s="76"/>
      <c r="AA356" s="76">
        <v>0</v>
      </c>
      <c r="AB356" s="76"/>
      <c r="AC356" s="76">
        <v>0</v>
      </c>
      <c r="AD356" s="76"/>
      <c r="AE356" s="76">
        <v>0</v>
      </c>
      <c r="AF356" s="76"/>
      <c r="AG356" s="76">
        <v>0</v>
      </c>
      <c r="AH356"/>
      <c r="AI356" s="76">
        <f t="shared" si="5"/>
        <v>67027.170000000013</v>
      </c>
      <c r="AJ356" s="10"/>
      <c r="AK356" s="1"/>
      <c r="AL356" s="1"/>
      <c r="AM356" s="1"/>
    </row>
    <row r="357" spans="1:39" ht="12" customHeight="1" x14ac:dyDescent="0.2">
      <c r="A357" s="1" t="s">
        <v>840</v>
      </c>
      <c r="C357" s="1" t="s">
        <v>779</v>
      </c>
      <c r="E357" s="76">
        <v>90445.34</v>
      </c>
      <c r="F357" s="76"/>
      <c r="G357" s="76">
        <v>502316.73</v>
      </c>
      <c r="H357" s="76"/>
      <c r="I357" s="76">
        <v>31663.71</v>
      </c>
      <c r="J357" s="76"/>
      <c r="K357" s="76">
        <v>0</v>
      </c>
      <c r="L357" s="76"/>
      <c r="M357" s="76">
        <v>90519.93</v>
      </c>
      <c r="N357" s="76"/>
      <c r="O357" s="76">
        <v>20897.240000000002</v>
      </c>
      <c r="P357" s="76"/>
      <c r="Q357" s="76">
        <v>88.2</v>
      </c>
      <c r="R357" s="76"/>
      <c r="S357" s="76">
        <v>0</v>
      </c>
      <c r="T357" s="76"/>
      <c r="U357" s="76">
        <v>0</v>
      </c>
      <c r="V357" s="76"/>
      <c r="W357" s="76">
        <v>0</v>
      </c>
      <c r="X357" s="76"/>
      <c r="Y357" s="76">
        <v>0</v>
      </c>
      <c r="Z357" s="76"/>
      <c r="AA357" s="76">
        <v>0</v>
      </c>
      <c r="AB357" s="76"/>
      <c r="AC357" s="76">
        <v>0</v>
      </c>
      <c r="AD357" s="76"/>
      <c r="AE357" s="76">
        <v>12000</v>
      </c>
      <c r="AF357" s="76"/>
      <c r="AG357" s="76">
        <v>0</v>
      </c>
      <c r="AH357"/>
      <c r="AI357" s="76">
        <f t="shared" si="5"/>
        <v>747931.14999999991</v>
      </c>
      <c r="AJ357" s="10"/>
    </row>
    <row r="358" spans="1:39" s="21" customFormat="1" ht="12" customHeight="1" x14ac:dyDescent="0.2">
      <c r="A358" s="1" t="s">
        <v>246</v>
      </c>
      <c r="B358" s="1"/>
      <c r="C358" s="1" t="s">
        <v>810</v>
      </c>
      <c r="D358" s="1"/>
      <c r="E358" s="76">
        <v>1414.99</v>
      </c>
      <c r="F358" s="76"/>
      <c r="G358" s="76">
        <v>0</v>
      </c>
      <c r="H358" s="76"/>
      <c r="I358" s="76">
        <v>15822.98</v>
      </c>
      <c r="J358" s="76"/>
      <c r="K358" s="76">
        <v>0</v>
      </c>
      <c r="L358" s="76"/>
      <c r="M358" s="76">
        <v>3412</v>
      </c>
      <c r="N358" s="76"/>
      <c r="O358" s="76">
        <v>0</v>
      </c>
      <c r="P358" s="76"/>
      <c r="Q358" s="76">
        <v>83.17</v>
      </c>
      <c r="R358" s="76"/>
      <c r="S358" s="76">
        <v>0.66</v>
      </c>
      <c r="T358" s="76"/>
      <c r="U358" s="76">
        <v>0</v>
      </c>
      <c r="V358" s="76"/>
      <c r="W358" s="76">
        <v>0</v>
      </c>
      <c r="X358" s="76"/>
      <c r="Y358" s="76">
        <v>0</v>
      </c>
      <c r="Z358" s="76"/>
      <c r="AA358" s="76">
        <v>0</v>
      </c>
      <c r="AB358" s="76"/>
      <c r="AC358" s="76">
        <v>0</v>
      </c>
      <c r="AD358" s="76"/>
      <c r="AE358" s="76">
        <v>0</v>
      </c>
      <c r="AF358" s="76"/>
      <c r="AG358" s="76">
        <v>0</v>
      </c>
      <c r="AH358"/>
      <c r="AI358" s="76">
        <f t="shared" si="5"/>
        <v>20733.8</v>
      </c>
      <c r="AJ358" s="10"/>
      <c r="AK358" s="1"/>
      <c r="AL358" s="1"/>
      <c r="AM358" s="1"/>
    </row>
    <row r="359" spans="1:39" ht="12" customHeight="1" x14ac:dyDescent="0.2">
      <c r="A359" s="1" t="s">
        <v>455</v>
      </c>
      <c r="C359" s="1" t="s">
        <v>519</v>
      </c>
      <c r="E359" s="76">
        <v>27465</v>
      </c>
      <c r="F359" s="76"/>
      <c r="G359" s="76">
        <v>0</v>
      </c>
      <c r="H359" s="76"/>
      <c r="I359" s="76">
        <v>24605</v>
      </c>
      <c r="J359" s="76"/>
      <c r="K359" s="76">
        <v>0</v>
      </c>
      <c r="L359" s="76"/>
      <c r="M359" s="76">
        <v>1415</v>
      </c>
      <c r="N359" s="76"/>
      <c r="O359" s="76">
        <v>1612</v>
      </c>
      <c r="P359" s="76"/>
      <c r="Q359" s="76">
        <v>771</v>
      </c>
      <c r="R359" s="76"/>
      <c r="S359" s="76">
        <v>650</v>
      </c>
      <c r="T359" s="76"/>
      <c r="U359" s="76">
        <v>0</v>
      </c>
      <c r="V359" s="76"/>
      <c r="W359" s="76">
        <v>0</v>
      </c>
      <c r="X359" s="76"/>
      <c r="Y359" s="76">
        <v>0</v>
      </c>
      <c r="Z359" s="76"/>
      <c r="AA359" s="76">
        <v>0</v>
      </c>
      <c r="AB359" s="76"/>
      <c r="AC359" s="76">
        <v>0</v>
      </c>
      <c r="AD359" s="76"/>
      <c r="AE359" s="76">
        <v>0</v>
      </c>
      <c r="AF359" s="76"/>
      <c r="AG359" s="76">
        <v>0</v>
      </c>
      <c r="AH359" s="76"/>
      <c r="AI359" s="76">
        <f t="shared" si="5"/>
        <v>56518</v>
      </c>
      <c r="AJ359" s="10"/>
    </row>
    <row r="360" spans="1:39" s="21" customFormat="1" ht="12" customHeight="1" x14ac:dyDescent="0.2">
      <c r="A360" s="1" t="s">
        <v>604</v>
      </c>
      <c r="B360" s="1"/>
      <c r="C360" s="1" t="s">
        <v>601</v>
      </c>
      <c r="D360" s="1"/>
      <c r="E360" s="76">
        <v>51495.92</v>
      </c>
      <c r="F360" s="76"/>
      <c r="G360" s="76">
        <v>157433.89000000001</v>
      </c>
      <c r="H360" s="76"/>
      <c r="I360" s="76">
        <v>83486.16</v>
      </c>
      <c r="J360" s="76"/>
      <c r="K360" s="76">
        <v>0</v>
      </c>
      <c r="L360" s="76"/>
      <c r="M360" s="76">
        <v>70448.53</v>
      </c>
      <c r="N360" s="76"/>
      <c r="O360" s="76">
        <v>6636.01</v>
      </c>
      <c r="P360" s="76"/>
      <c r="Q360" s="76">
        <v>791.6</v>
      </c>
      <c r="R360" s="76"/>
      <c r="S360" s="76">
        <v>2130.19</v>
      </c>
      <c r="T360" s="76"/>
      <c r="U360" s="76">
        <v>0</v>
      </c>
      <c r="V360" s="76"/>
      <c r="W360" s="76">
        <v>0</v>
      </c>
      <c r="X360" s="76"/>
      <c r="Y360" s="76">
        <v>0</v>
      </c>
      <c r="Z360" s="76"/>
      <c r="AA360" s="76">
        <v>0</v>
      </c>
      <c r="AB360" s="76"/>
      <c r="AC360" s="76">
        <v>0</v>
      </c>
      <c r="AD360" s="76"/>
      <c r="AE360" s="76">
        <v>0</v>
      </c>
      <c r="AF360" s="76"/>
      <c r="AG360" s="76">
        <v>0</v>
      </c>
      <c r="AH360" s="81"/>
      <c r="AI360" s="76">
        <f t="shared" si="5"/>
        <v>372422.3</v>
      </c>
      <c r="AJ360" s="10"/>
      <c r="AK360" s="1"/>
      <c r="AL360" s="1"/>
      <c r="AM360" s="1"/>
    </row>
    <row r="361" spans="1:39" ht="12" customHeight="1" x14ac:dyDescent="0.2">
      <c r="A361" s="1" t="s">
        <v>110</v>
      </c>
      <c r="C361" s="1" t="s">
        <v>767</v>
      </c>
      <c r="E361" s="76">
        <v>52652.480000000003</v>
      </c>
      <c r="F361" s="76"/>
      <c r="G361" s="76">
        <v>0</v>
      </c>
      <c r="H361" s="76"/>
      <c r="I361" s="76">
        <v>46128.55</v>
      </c>
      <c r="J361" s="76"/>
      <c r="K361" s="76">
        <v>26.39</v>
      </c>
      <c r="L361" s="76"/>
      <c r="M361" s="76">
        <v>20000</v>
      </c>
      <c r="N361" s="76"/>
      <c r="O361" s="76">
        <v>32647.07</v>
      </c>
      <c r="P361" s="76"/>
      <c r="Q361" s="76">
        <v>1868.34</v>
      </c>
      <c r="R361" s="76"/>
      <c r="S361" s="76">
        <v>18414.37</v>
      </c>
      <c r="T361" s="76"/>
      <c r="U361" s="76">
        <v>0</v>
      </c>
      <c r="V361" s="76"/>
      <c r="W361" s="76">
        <v>0</v>
      </c>
      <c r="X361" s="76"/>
      <c r="Y361" s="76">
        <v>0</v>
      </c>
      <c r="Z361" s="76"/>
      <c r="AA361" s="76">
        <v>0</v>
      </c>
      <c r="AB361" s="76"/>
      <c r="AC361" s="76">
        <v>9922</v>
      </c>
      <c r="AD361" s="76"/>
      <c r="AE361" s="76">
        <v>476.79</v>
      </c>
      <c r="AF361" s="76"/>
      <c r="AG361" s="76">
        <v>0</v>
      </c>
      <c r="AH361"/>
      <c r="AI361" s="76">
        <f t="shared" si="5"/>
        <v>182135.99</v>
      </c>
      <c r="AJ361" s="10"/>
      <c r="AK361" s="21"/>
      <c r="AL361" s="21"/>
      <c r="AM361" s="21"/>
    </row>
    <row r="362" spans="1:39" ht="12" customHeight="1" x14ac:dyDescent="0.2">
      <c r="A362" s="1" t="s">
        <v>78</v>
      </c>
      <c r="C362" s="1" t="s">
        <v>759</v>
      </c>
      <c r="E362" s="76">
        <v>71140.81</v>
      </c>
      <c r="F362" s="76"/>
      <c r="G362" s="76">
        <v>0</v>
      </c>
      <c r="H362" s="76"/>
      <c r="I362" s="76">
        <v>27714.39</v>
      </c>
      <c r="J362" s="76"/>
      <c r="K362" s="76">
        <v>0</v>
      </c>
      <c r="L362" s="76"/>
      <c r="M362" s="76">
        <v>0</v>
      </c>
      <c r="N362" s="76"/>
      <c r="O362" s="76">
        <v>2242.59</v>
      </c>
      <c r="P362" s="76"/>
      <c r="Q362" s="76">
        <v>523.71</v>
      </c>
      <c r="R362" s="76"/>
      <c r="S362" s="76">
        <v>21830.59</v>
      </c>
      <c r="T362" s="76"/>
      <c r="U362" s="76">
        <v>0</v>
      </c>
      <c r="V362" s="76"/>
      <c r="W362" s="76">
        <v>0</v>
      </c>
      <c r="X362" s="76"/>
      <c r="Y362" s="76">
        <v>0</v>
      </c>
      <c r="Z362" s="76"/>
      <c r="AA362" s="76">
        <v>0</v>
      </c>
      <c r="AB362" s="76"/>
      <c r="AC362" s="76">
        <v>35000</v>
      </c>
      <c r="AD362" s="76"/>
      <c r="AE362" s="76">
        <v>0</v>
      </c>
      <c r="AF362" s="76"/>
      <c r="AG362" s="76">
        <v>0</v>
      </c>
      <c r="AH362"/>
      <c r="AI362" s="76">
        <f t="shared" si="5"/>
        <v>158452.09</v>
      </c>
      <c r="AJ362" s="10"/>
      <c r="AK362" s="21"/>
      <c r="AL362" s="21"/>
      <c r="AM362" s="21"/>
    </row>
    <row r="363" spans="1:39" ht="12" customHeight="1" x14ac:dyDescent="0.2">
      <c r="A363" s="15" t="s">
        <v>432</v>
      </c>
      <c r="B363" s="15"/>
      <c r="C363" s="15" t="s">
        <v>430</v>
      </c>
      <c r="D363" s="15"/>
      <c r="E363" s="76">
        <v>102372.85</v>
      </c>
      <c r="F363" s="76"/>
      <c r="G363" s="76">
        <v>881087.52</v>
      </c>
      <c r="H363" s="76"/>
      <c r="I363" s="76">
        <v>121516.48</v>
      </c>
      <c r="J363" s="76"/>
      <c r="K363" s="76">
        <v>0</v>
      </c>
      <c r="L363" s="76"/>
      <c r="M363" s="76">
        <v>17367.5</v>
      </c>
      <c r="N363" s="76"/>
      <c r="O363" s="76">
        <v>99052.92</v>
      </c>
      <c r="P363" s="76"/>
      <c r="Q363" s="76">
        <v>1735.73</v>
      </c>
      <c r="R363" s="76"/>
      <c r="S363" s="76">
        <v>15307.47</v>
      </c>
      <c r="T363" s="76"/>
      <c r="U363" s="76">
        <v>0</v>
      </c>
      <c r="V363" s="76"/>
      <c r="W363" s="76">
        <v>0</v>
      </c>
      <c r="X363" s="76"/>
      <c r="Y363" s="76">
        <v>0</v>
      </c>
      <c r="Z363" s="76"/>
      <c r="AA363" s="76">
        <v>0</v>
      </c>
      <c r="AB363" s="76"/>
      <c r="AC363" s="76">
        <v>170000</v>
      </c>
      <c r="AD363" s="76"/>
      <c r="AE363" s="76">
        <v>0</v>
      </c>
      <c r="AF363" s="76"/>
      <c r="AG363" s="76">
        <v>0</v>
      </c>
      <c r="AH363"/>
      <c r="AI363" s="76">
        <f t="shared" si="5"/>
        <v>1408440.47</v>
      </c>
      <c r="AJ363" s="10"/>
      <c r="AK363" s="21"/>
      <c r="AL363" s="21"/>
      <c r="AM363" s="21"/>
    </row>
    <row r="364" spans="1:39" s="21" customFormat="1" ht="12" customHeight="1" x14ac:dyDescent="0.2">
      <c r="A364" s="1" t="s">
        <v>236</v>
      </c>
      <c r="B364" s="1"/>
      <c r="C364" s="1" t="s">
        <v>807</v>
      </c>
      <c r="D364" s="1"/>
      <c r="E364" s="76">
        <v>25630.080000000002</v>
      </c>
      <c r="F364" s="76"/>
      <c r="G364" s="76">
        <v>0</v>
      </c>
      <c r="H364" s="76"/>
      <c r="I364" s="76">
        <v>5313.86</v>
      </c>
      <c r="J364" s="76"/>
      <c r="K364" s="76">
        <v>0</v>
      </c>
      <c r="L364" s="76"/>
      <c r="M364" s="76">
        <v>1538.58</v>
      </c>
      <c r="N364" s="76"/>
      <c r="O364" s="76">
        <v>20</v>
      </c>
      <c r="P364" s="76"/>
      <c r="Q364" s="76">
        <v>40.93</v>
      </c>
      <c r="R364" s="76"/>
      <c r="S364" s="76">
        <v>275.73</v>
      </c>
      <c r="T364" s="76"/>
      <c r="U364" s="76">
        <v>0</v>
      </c>
      <c r="V364" s="76"/>
      <c r="W364" s="76">
        <v>0</v>
      </c>
      <c r="X364" s="76"/>
      <c r="Y364" s="76">
        <v>0</v>
      </c>
      <c r="Z364" s="76"/>
      <c r="AA364" s="76">
        <v>0</v>
      </c>
      <c r="AB364" s="76"/>
      <c r="AC364" s="76">
        <v>0</v>
      </c>
      <c r="AD364" s="76"/>
      <c r="AE364" s="76">
        <v>0</v>
      </c>
      <c r="AF364" s="76"/>
      <c r="AG364" s="76">
        <v>0</v>
      </c>
      <c r="AH364"/>
      <c r="AI364" s="76">
        <f t="shared" si="5"/>
        <v>32819.180000000008</v>
      </c>
      <c r="AJ364" s="10"/>
      <c r="AK364" s="1"/>
      <c r="AL364" s="1"/>
      <c r="AM364" s="1"/>
    </row>
    <row r="365" spans="1:39" ht="12" customHeight="1" x14ac:dyDescent="0.2">
      <c r="A365" s="15" t="s">
        <v>544</v>
      </c>
      <c r="B365" s="15"/>
      <c r="C365" s="15" t="s">
        <v>540</v>
      </c>
      <c r="D365" s="15"/>
      <c r="E365" s="76">
        <v>115355</v>
      </c>
      <c r="F365" s="76"/>
      <c r="G365" s="76">
        <v>0</v>
      </c>
      <c r="H365" s="76"/>
      <c r="I365" s="76">
        <f>23805+23233</f>
        <v>47038</v>
      </c>
      <c r="J365" s="76"/>
      <c r="K365" s="76">
        <v>0</v>
      </c>
      <c r="L365" s="76"/>
      <c r="M365" s="76">
        <v>98474</v>
      </c>
      <c r="N365" s="76"/>
      <c r="O365" s="76">
        <f>5536+1095</f>
        <v>6631</v>
      </c>
      <c r="P365" s="76"/>
      <c r="Q365" s="76">
        <v>261</v>
      </c>
      <c r="R365" s="76"/>
      <c r="S365" s="76">
        <v>2396</v>
      </c>
      <c r="T365" s="76"/>
      <c r="U365" s="76">
        <v>45000</v>
      </c>
      <c r="V365" s="76"/>
      <c r="W365" s="76">
        <v>0</v>
      </c>
      <c r="X365" s="76"/>
      <c r="Y365" s="76">
        <v>0</v>
      </c>
      <c r="Z365" s="76"/>
      <c r="AA365" s="76">
        <v>0</v>
      </c>
      <c r="AB365" s="76"/>
      <c r="AC365" s="76">
        <v>0</v>
      </c>
      <c r="AD365" s="76"/>
      <c r="AE365" s="76">
        <v>0</v>
      </c>
      <c r="AF365" s="76"/>
      <c r="AG365" s="76">
        <v>0</v>
      </c>
      <c r="AH365" s="77"/>
      <c r="AI365" s="76">
        <f t="shared" si="5"/>
        <v>315155</v>
      </c>
      <c r="AJ365" s="36"/>
    </row>
    <row r="366" spans="1:39" s="21" customFormat="1" ht="12" customHeight="1" x14ac:dyDescent="0.2">
      <c r="A366" s="1" t="s">
        <v>242</v>
      </c>
      <c r="B366" s="1"/>
      <c r="C366" s="1" t="s">
        <v>809</v>
      </c>
      <c r="D366" s="1"/>
      <c r="E366" s="76">
        <v>36222.35</v>
      </c>
      <c r="F366" s="76"/>
      <c r="G366" s="76">
        <v>301364.25</v>
      </c>
      <c r="H366" s="76"/>
      <c r="I366" s="76">
        <v>6321.77</v>
      </c>
      <c r="J366" s="76"/>
      <c r="K366" s="76">
        <v>316.24</v>
      </c>
      <c r="L366" s="76"/>
      <c r="M366" s="76">
        <v>74374.47</v>
      </c>
      <c r="N366" s="76"/>
      <c r="O366" s="76">
        <v>32332.93</v>
      </c>
      <c r="P366" s="76"/>
      <c r="Q366" s="76">
        <v>1683.39</v>
      </c>
      <c r="R366" s="76"/>
      <c r="S366" s="76">
        <v>494.13</v>
      </c>
      <c r="T366" s="76"/>
      <c r="U366" s="76">
        <v>0</v>
      </c>
      <c r="V366" s="76"/>
      <c r="W366" s="76">
        <v>0</v>
      </c>
      <c r="X366" s="76"/>
      <c r="Y366" s="76">
        <v>0</v>
      </c>
      <c r="Z366" s="76"/>
      <c r="AA366" s="76">
        <v>0</v>
      </c>
      <c r="AB366" s="76"/>
      <c r="AC366" s="76">
        <v>0</v>
      </c>
      <c r="AD366" s="76"/>
      <c r="AE366" s="76">
        <v>0</v>
      </c>
      <c r="AF366" s="76"/>
      <c r="AG366" s="76">
        <v>0</v>
      </c>
      <c r="AH366"/>
      <c r="AI366" s="76">
        <f t="shared" si="5"/>
        <v>453109.52999999997</v>
      </c>
      <c r="AJ366" s="10"/>
      <c r="AK366" s="1"/>
      <c r="AL366" s="1"/>
      <c r="AM366" s="1"/>
    </row>
    <row r="367" spans="1:39" ht="12" customHeight="1" x14ac:dyDescent="0.2">
      <c r="A367" s="1" t="s">
        <v>107</v>
      </c>
      <c r="C367" s="1" t="s">
        <v>766</v>
      </c>
      <c r="E367" s="76">
        <v>6653.03</v>
      </c>
      <c r="F367" s="76"/>
      <c r="G367" s="76">
        <v>0</v>
      </c>
      <c r="H367" s="76"/>
      <c r="I367" s="76">
        <v>58569.85</v>
      </c>
      <c r="J367" s="76"/>
      <c r="K367" s="76">
        <v>0</v>
      </c>
      <c r="L367" s="76"/>
      <c r="M367" s="76">
        <v>0</v>
      </c>
      <c r="N367" s="76"/>
      <c r="O367" s="76">
        <v>248.57</v>
      </c>
      <c r="P367" s="76"/>
      <c r="Q367" s="76">
        <v>1224.23</v>
      </c>
      <c r="R367" s="76"/>
      <c r="S367" s="76">
        <v>0</v>
      </c>
      <c r="T367" s="76"/>
      <c r="U367" s="76">
        <v>0</v>
      </c>
      <c r="V367" s="76"/>
      <c r="W367" s="76">
        <v>0</v>
      </c>
      <c r="X367" s="76"/>
      <c r="Y367" s="76">
        <v>0</v>
      </c>
      <c r="Z367" s="76"/>
      <c r="AA367" s="76">
        <v>56000</v>
      </c>
      <c r="AB367" s="76"/>
      <c r="AC367" s="76">
        <v>0</v>
      </c>
      <c r="AD367" s="76"/>
      <c r="AE367" s="76">
        <v>502.52</v>
      </c>
      <c r="AF367" s="76"/>
      <c r="AG367" s="76">
        <v>0</v>
      </c>
      <c r="AH367"/>
      <c r="AI367" s="76">
        <f t="shared" si="5"/>
        <v>123198.2</v>
      </c>
      <c r="AJ367" s="10"/>
    </row>
    <row r="368" spans="1:39" s="21" customFormat="1" ht="12" customHeight="1" x14ac:dyDescent="0.2">
      <c r="A368" s="1" t="s">
        <v>928</v>
      </c>
      <c r="B368" s="1"/>
      <c r="C368" s="1" t="s">
        <v>882</v>
      </c>
      <c r="D368" s="1"/>
      <c r="E368" s="76">
        <v>8315.7900000000009</v>
      </c>
      <c r="F368" s="76"/>
      <c r="G368" s="76">
        <v>105186.96</v>
      </c>
      <c r="H368" s="76"/>
      <c r="I368" s="76">
        <v>54645.66</v>
      </c>
      <c r="J368" s="76"/>
      <c r="K368" s="76">
        <v>0</v>
      </c>
      <c r="L368" s="76"/>
      <c r="M368" s="76">
        <v>0</v>
      </c>
      <c r="N368" s="76"/>
      <c r="O368" s="76">
        <v>9087.33</v>
      </c>
      <c r="P368" s="76"/>
      <c r="Q368" s="76">
        <v>532.94000000000005</v>
      </c>
      <c r="R368" s="76"/>
      <c r="S368" s="76">
        <v>2165.12</v>
      </c>
      <c r="T368" s="76"/>
      <c r="U368" s="76">
        <v>0</v>
      </c>
      <c r="V368" s="76"/>
      <c r="W368" s="76">
        <v>0</v>
      </c>
      <c r="X368" s="76"/>
      <c r="Y368" s="76">
        <v>0</v>
      </c>
      <c r="Z368" s="76"/>
      <c r="AA368" s="76">
        <v>0</v>
      </c>
      <c r="AB368" s="76"/>
      <c r="AC368" s="76">
        <v>0</v>
      </c>
      <c r="AD368" s="76"/>
      <c r="AE368" s="76">
        <v>0</v>
      </c>
      <c r="AF368" s="76"/>
      <c r="AG368" s="76">
        <v>0</v>
      </c>
      <c r="AH368"/>
      <c r="AI368" s="76">
        <f t="shared" si="5"/>
        <v>179933.8</v>
      </c>
      <c r="AJ368" s="10"/>
      <c r="AK368" s="1"/>
      <c r="AL368" s="1"/>
      <c r="AM368" s="1"/>
    </row>
    <row r="369" spans="1:39" s="31" customFormat="1" ht="12" customHeight="1" x14ac:dyDescent="0.2">
      <c r="A369" s="1" t="s">
        <v>30</v>
      </c>
      <c r="B369" s="1"/>
      <c r="C369" s="1" t="s">
        <v>744</v>
      </c>
      <c r="D369" s="1"/>
      <c r="E369" s="76">
        <v>27574.39</v>
      </c>
      <c r="F369" s="76"/>
      <c r="G369" s="76">
        <v>172048.41</v>
      </c>
      <c r="H369" s="76"/>
      <c r="I369" s="76">
        <v>36212.61</v>
      </c>
      <c r="J369" s="76"/>
      <c r="K369" s="76">
        <v>0</v>
      </c>
      <c r="L369" s="76"/>
      <c r="M369" s="76">
        <v>8748.7000000000007</v>
      </c>
      <c r="N369" s="76"/>
      <c r="O369" s="76">
        <v>10667.81</v>
      </c>
      <c r="P369" s="76"/>
      <c r="Q369" s="76">
        <v>43.21</v>
      </c>
      <c r="R369" s="76"/>
      <c r="S369" s="76">
        <v>10594.23</v>
      </c>
      <c r="T369" s="76"/>
      <c r="U369" s="76">
        <v>0</v>
      </c>
      <c r="V369" s="76"/>
      <c r="W369" s="76">
        <v>0</v>
      </c>
      <c r="X369" s="76"/>
      <c r="Y369" s="76">
        <v>0</v>
      </c>
      <c r="Z369" s="76"/>
      <c r="AA369" s="76">
        <v>0</v>
      </c>
      <c r="AB369" s="76"/>
      <c r="AC369" s="76">
        <v>0</v>
      </c>
      <c r="AD369" s="76"/>
      <c r="AE369" s="76">
        <v>0</v>
      </c>
      <c r="AF369" s="76"/>
      <c r="AG369" s="76">
        <v>0</v>
      </c>
      <c r="AH369"/>
      <c r="AI369" s="76">
        <f t="shared" si="5"/>
        <v>265889.36</v>
      </c>
      <c r="AJ369" s="10"/>
      <c r="AK369" s="7"/>
      <c r="AL369" s="7"/>
      <c r="AM369" s="7"/>
    </row>
    <row r="370" spans="1:39" ht="12" customHeight="1" x14ac:dyDescent="0.2">
      <c r="A370" s="1" t="s">
        <v>913</v>
      </c>
      <c r="C370" s="1" t="s">
        <v>659</v>
      </c>
      <c r="E370" s="76">
        <v>33073.11</v>
      </c>
      <c r="F370" s="76"/>
      <c r="G370" s="76">
        <v>148518.98000000001</v>
      </c>
      <c r="H370" s="76"/>
      <c r="I370" s="76">
        <v>33505.050000000003</v>
      </c>
      <c r="J370" s="76"/>
      <c r="K370" s="76">
        <v>0</v>
      </c>
      <c r="L370" s="76"/>
      <c r="M370" s="76">
        <v>4631</v>
      </c>
      <c r="N370" s="76"/>
      <c r="O370" s="76">
        <v>33241.730000000003</v>
      </c>
      <c r="P370" s="76"/>
      <c r="Q370" s="76">
        <v>272.45</v>
      </c>
      <c r="R370" s="76"/>
      <c r="S370" s="76">
        <v>669.33</v>
      </c>
      <c r="T370" s="76"/>
      <c r="U370" s="76">
        <v>0</v>
      </c>
      <c r="V370" s="76"/>
      <c r="W370" s="76">
        <v>0</v>
      </c>
      <c r="X370" s="76"/>
      <c r="Y370" s="76">
        <v>0</v>
      </c>
      <c r="Z370" s="76"/>
      <c r="AA370" s="76">
        <v>0</v>
      </c>
      <c r="AB370" s="76"/>
      <c r="AC370" s="76">
        <v>0</v>
      </c>
      <c r="AD370" s="76"/>
      <c r="AE370" s="76">
        <v>0</v>
      </c>
      <c r="AF370" s="76"/>
      <c r="AG370" s="76">
        <v>0</v>
      </c>
      <c r="AH370"/>
      <c r="AI370" s="76">
        <f t="shared" si="5"/>
        <v>253911.65000000002</v>
      </c>
      <c r="AJ370" s="10"/>
      <c r="AK370" s="7"/>
      <c r="AL370" s="7"/>
      <c r="AM370" s="7"/>
    </row>
    <row r="371" spans="1:39" s="21" customFormat="1" ht="12" customHeight="1" x14ac:dyDescent="0.2">
      <c r="A371" s="1" t="s">
        <v>195</v>
      </c>
      <c r="B371" s="1"/>
      <c r="C371" s="1" t="s">
        <v>795</v>
      </c>
      <c r="D371" s="1"/>
      <c r="E371" s="76">
        <v>13518.89</v>
      </c>
      <c r="F371" s="76"/>
      <c r="G371" s="76">
        <v>505680.35</v>
      </c>
      <c r="H371" s="76"/>
      <c r="I371" s="76">
        <v>78244.98</v>
      </c>
      <c r="J371" s="76"/>
      <c r="K371" s="76">
        <v>0</v>
      </c>
      <c r="L371" s="76"/>
      <c r="M371" s="76">
        <v>89179.62</v>
      </c>
      <c r="N371" s="76"/>
      <c r="O371" s="76">
        <v>29681.94</v>
      </c>
      <c r="P371" s="76"/>
      <c r="Q371" s="76">
        <v>1488.33</v>
      </c>
      <c r="R371" s="76"/>
      <c r="S371" s="76">
        <v>0</v>
      </c>
      <c r="T371" s="76"/>
      <c r="U371" s="76">
        <v>0</v>
      </c>
      <c r="V371" s="76"/>
      <c r="W371" s="76">
        <v>0</v>
      </c>
      <c r="X371" s="76"/>
      <c r="Y371" s="76">
        <v>0</v>
      </c>
      <c r="Z371" s="76"/>
      <c r="AA371" s="76">
        <v>0</v>
      </c>
      <c r="AB371" s="76"/>
      <c r="AC371" s="76">
        <v>16009.26</v>
      </c>
      <c r="AD371" s="76"/>
      <c r="AE371" s="76">
        <v>8129.7</v>
      </c>
      <c r="AF371" s="76"/>
      <c r="AG371" s="76">
        <v>1256</v>
      </c>
      <c r="AH371"/>
      <c r="AI371" s="76">
        <f t="shared" si="5"/>
        <v>743189.06999999983</v>
      </c>
      <c r="AJ371" s="10"/>
      <c r="AK371" s="1"/>
      <c r="AL371" s="1"/>
      <c r="AM371" s="1"/>
    </row>
    <row r="372" spans="1:39" s="21" customFormat="1" ht="12" customHeight="1" x14ac:dyDescent="0.2">
      <c r="A372" s="1" t="s">
        <v>73</v>
      </c>
      <c r="B372" s="1"/>
      <c r="C372" s="1" t="s">
        <v>758</v>
      </c>
      <c r="D372" s="1"/>
      <c r="E372" s="76">
        <v>43721.1</v>
      </c>
      <c r="F372" s="76"/>
      <c r="G372" s="76">
        <v>971488.9</v>
      </c>
      <c r="H372" s="76"/>
      <c r="I372" s="76">
        <v>839533.35</v>
      </c>
      <c r="J372" s="76"/>
      <c r="K372" s="76">
        <v>0</v>
      </c>
      <c r="L372" s="76"/>
      <c r="M372" s="76">
        <v>0</v>
      </c>
      <c r="N372" s="76"/>
      <c r="O372" s="76">
        <v>57458.42</v>
      </c>
      <c r="P372" s="76"/>
      <c r="Q372" s="76">
        <v>7291.57</v>
      </c>
      <c r="R372" s="76"/>
      <c r="S372" s="76">
        <v>10639.19</v>
      </c>
      <c r="T372" s="76"/>
      <c r="U372" s="76">
        <v>0</v>
      </c>
      <c r="V372" s="76"/>
      <c r="W372" s="76">
        <v>0</v>
      </c>
      <c r="X372" s="76"/>
      <c r="Y372" s="76">
        <v>0</v>
      </c>
      <c r="Z372" s="76"/>
      <c r="AA372" s="76">
        <v>0</v>
      </c>
      <c r="AB372" s="76"/>
      <c r="AC372" s="76">
        <v>0</v>
      </c>
      <c r="AD372" s="76"/>
      <c r="AE372" s="76">
        <v>0</v>
      </c>
      <c r="AF372" s="76"/>
      <c r="AG372" s="76">
        <v>0</v>
      </c>
      <c r="AH372" s="81"/>
      <c r="AI372" s="76">
        <f t="shared" si="5"/>
        <v>1930132.53</v>
      </c>
      <c r="AJ372" s="10"/>
    </row>
    <row r="373" spans="1:39" s="36" customFormat="1" ht="12" customHeight="1" x14ac:dyDescent="0.2">
      <c r="A373" s="1" t="s">
        <v>828</v>
      </c>
      <c r="B373" s="1"/>
      <c r="C373" s="1" t="s">
        <v>791</v>
      </c>
      <c r="D373" s="1"/>
      <c r="E373" s="76">
        <v>380369.38</v>
      </c>
      <c r="F373" s="76"/>
      <c r="G373" s="76">
        <v>0</v>
      </c>
      <c r="H373" s="76"/>
      <c r="I373" s="76">
        <v>114294.68</v>
      </c>
      <c r="J373" s="76"/>
      <c r="K373" s="76">
        <v>0</v>
      </c>
      <c r="L373" s="76"/>
      <c r="M373" s="76">
        <v>30000</v>
      </c>
      <c r="N373" s="76"/>
      <c r="O373" s="76">
        <v>14761.25</v>
      </c>
      <c r="P373" s="76"/>
      <c r="Q373" s="76">
        <v>1757.13</v>
      </c>
      <c r="R373" s="76"/>
      <c r="S373" s="76">
        <v>64303.47</v>
      </c>
      <c r="T373" s="76"/>
      <c r="U373" s="76">
        <v>0</v>
      </c>
      <c r="V373" s="76"/>
      <c r="W373" s="76">
        <v>0</v>
      </c>
      <c r="X373" s="76"/>
      <c r="Y373" s="76">
        <v>0</v>
      </c>
      <c r="Z373" s="76"/>
      <c r="AA373" s="76">
        <v>0</v>
      </c>
      <c r="AB373" s="76"/>
      <c r="AC373" s="76">
        <v>10480</v>
      </c>
      <c r="AD373" s="76"/>
      <c r="AE373" s="76">
        <v>760</v>
      </c>
      <c r="AF373" s="76"/>
      <c r="AG373" s="76">
        <v>0</v>
      </c>
      <c r="AH373"/>
      <c r="AI373" s="76">
        <f t="shared" si="5"/>
        <v>616725.91</v>
      </c>
      <c r="AJ373" s="10"/>
      <c r="AK373" s="1"/>
      <c r="AL373" s="1"/>
      <c r="AM373" s="1"/>
    </row>
    <row r="374" spans="1:39" ht="12" customHeight="1" x14ac:dyDescent="0.2">
      <c r="A374" s="1" t="s">
        <v>173</v>
      </c>
      <c r="C374" s="1" t="s">
        <v>243</v>
      </c>
      <c r="E374" s="76">
        <v>5107.3500000000004</v>
      </c>
      <c r="F374" s="76"/>
      <c r="G374" s="76">
        <v>0</v>
      </c>
      <c r="H374" s="76"/>
      <c r="I374" s="76">
        <v>13876.82</v>
      </c>
      <c r="J374" s="76"/>
      <c r="K374" s="76">
        <v>0</v>
      </c>
      <c r="L374" s="76"/>
      <c r="M374" s="76">
        <v>0</v>
      </c>
      <c r="N374" s="76"/>
      <c r="O374" s="76">
        <v>1760.2</v>
      </c>
      <c r="P374" s="76"/>
      <c r="Q374" s="76">
        <v>103.55</v>
      </c>
      <c r="R374" s="76"/>
      <c r="S374" s="76">
        <v>0</v>
      </c>
      <c r="T374" s="76"/>
      <c r="U374" s="76">
        <v>0</v>
      </c>
      <c r="V374" s="76"/>
      <c r="W374" s="76">
        <v>0</v>
      </c>
      <c r="X374" s="76"/>
      <c r="Y374" s="76">
        <v>0</v>
      </c>
      <c r="Z374" s="76"/>
      <c r="AA374" s="76">
        <v>0</v>
      </c>
      <c r="AB374" s="76"/>
      <c r="AC374" s="76">
        <v>0</v>
      </c>
      <c r="AD374" s="76"/>
      <c r="AE374" s="76">
        <v>100</v>
      </c>
      <c r="AF374" s="76"/>
      <c r="AG374" s="76">
        <v>0</v>
      </c>
      <c r="AH374"/>
      <c r="AI374" s="76">
        <f t="shared" si="5"/>
        <v>20947.919999999998</v>
      </c>
      <c r="AJ374" s="10"/>
      <c r="AK374" s="21"/>
      <c r="AL374" s="21"/>
      <c r="AM374" s="21"/>
    </row>
    <row r="375" spans="1:39" s="15" customFormat="1" ht="12" customHeight="1" x14ac:dyDescent="0.2">
      <c r="A375" s="1" t="s">
        <v>384</v>
      </c>
      <c r="B375" s="1"/>
      <c r="C375" s="1" t="s">
        <v>378</v>
      </c>
      <c r="D375" s="1"/>
      <c r="E375" s="76">
        <v>275862</v>
      </c>
      <c r="F375" s="76"/>
      <c r="G375" s="76">
        <v>2024982</v>
      </c>
      <c r="H375" s="76"/>
      <c r="I375" s="76">
        <v>304722</v>
      </c>
      <c r="J375" s="76"/>
      <c r="K375" s="76">
        <v>0</v>
      </c>
      <c r="L375" s="76"/>
      <c r="M375" s="76">
        <v>302251</v>
      </c>
      <c r="N375" s="76"/>
      <c r="O375" s="76">
        <v>246337</v>
      </c>
      <c r="P375" s="76"/>
      <c r="Q375" s="76">
        <v>1767</v>
      </c>
      <c r="R375" s="76"/>
      <c r="S375" s="76">
        <v>111723</v>
      </c>
      <c r="T375" s="76"/>
      <c r="U375" s="76">
        <v>0</v>
      </c>
      <c r="V375" s="76"/>
      <c r="W375" s="76">
        <v>0</v>
      </c>
      <c r="X375" s="76"/>
      <c r="Y375" s="76">
        <v>0</v>
      </c>
      <c r="Z375" s="76"/>
      <c r="AA375" s="76">
        <v>0</v>
      </c>
      <c r="AB375" s="76"/>
      <c r="AC375" s="76">
        <v>0</v>
      </c>
      <c r="AD375" s="76"/>
      <c r="AE375" s="76">
        <v>0</v>
      </c>
      <c r="AF375" s="76"/>
      <c r="AG375" s="76">
        <v>0</v>
      </c>
      <c r="AH375" s="76"/>
      <c r="AI375" s="76">
        <f t="shared" si="5"/>
        <v>3267644</v>
      </c>
      <c r="AJ375" s="10"/>
      <c r="AK375" s="21"/>
      <c r="AL375" s="21"/>
      <c r="AM375" s="21"/>
    </row>
    <row r="376" spans="1:39" s="15" customFormat="1" ht="12" hidden="1" customHeight="1" x14ac:dyDescent="0.2">
      <c r="A376" s="1" t="s">
        <v>586</v>
      </c>
      <c r="B376" s="1"/>
      <c r="C376" s="1" t="s">
        <v>810</v>
      </c>
      <c r="D376" s="1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>
        <f t="shared" si="5"/>
        <v>0</v>
      </c>
      <c r="AJ376" s="10"/>
      <c r="AK376" s="21"/>
      <c r="AL376" s="21"/>
      <c r="AM376" s="21"/>
    </row>
    <row r="377" spans="1:39" s="21" customFormat="1" ht="12" customHeight="1" x14ac:dyDescent="0.2">
      <c r="A377" s="10" t="s">
        <v>964</v>
      </c>
      <c r="B377" s="10"/>
      <c r="C377" s="10" t="s">
        <v>609</v>
      </c>
      <c r="D377" s="10"/>
      <c r="E377" s="76">
        <v>2778</v>
      </c>
      <c r="F377" s="76"/>
      <c r="G377" s="76">
        <v>0</v>
      </c>
      <c r="H377" s="76"/>
      <c r="I377" s="76">
        <f>38+349+349+549+928</f>
        <v>2213</v>
      </c>
      <c r="J377" s="76"/>
      <c r="K377" s="76">
        <v>0</v>
      </c>
      <c r="L377" s="76"/>
      <c r="M377" s="76">
        <v>0</v>
      </c>
      <c r="N377" s="76"/>
      <c r="O377" s="76">
        <v>0</v>
      </c>
      <c r="P377" s="76"/>
      <c r="Q377" s="76">
        <v>0</v>
      </c>
      <c r="R377" s="76"/>
      <c r="S377" s="76">
        <f>36+100</f>
        <v>136</v>
      </c>
      <c r="T377" s="76"/>
      <c r="U377" s="76">
        <v>0</v>
      </c>
      <c r="V377" s="76"/>
      <c r="W377" s="76">
        <v>0</v>
      </c>
      <c r="X377" s="76"/>
      <c r="Y377" s="76">
        <v>0</v>
      </c>
      <c r="Z377" s="76"/>
      <c r="AA377" s="76">
        <v>0</v>
      </c>
      <c r="AB377" s="76"/>
      <c r="AC377" s="76">
        <v>0</v>
      </c>
      <c r="AD377" s="76"/>
      <c r="AE377" s="76">
        <v>0</v>
      </c>
      <c r="AF377" s="76"/>
      <c r="AG377" s="76">
        <v>0</v>
      </c>
      <c r="AH377" s="79"/>
      <c r="AI377" s="76">
        <f t="shared" si="5"/>
        <v>5127</v>
      </c>
      <c r="AJ377" s="10"/>
      <c r="AK377" s="10"/>
      <c r="AL377" s="10"/>
      <c r="AM377" s="10"/>
    </row>
    <row r="378" spans="1:39" ht="12" customHeight="1" x14ac:dyDescent="0.2">
      <c r="A378" s="1" t="s">
        <v>680</v>
      </c>
      <c r="C378" s="1" t="s">
        <v>588</v>
      </c>
      <c r="E378" s="76">
        <v>19098</v>
      </c>
      <c r="F378" s="76"/>
      <c r="G378" s="76">
        <v>57422</v>
      </c>
      <c r="H378" s="76"/>
      <c r="I378" s="76">
        <v>29049</v>
      </c>
      <c r="J378" s="76"/>
      <c r="K378" s="76">
        <v>0</v>
      </c>
      <c r="L378" s="76"/>
      <c r="M378" s="76">
        <v>4764</v>
      </c>
      <c r="N378" s="76"/>
      <c r="O378" s="76">
        <v>26160</v>
      </c>
      <c r="P378" s="76"/>
      <c r="Q378" s="76">
        <v>928</v>
      </c>
      <c r="R378" s="76"/>
      <c r="S378" s="76">
        <v>1740</v>
      </c>
      <c r="T378" s="76"/>
      <c r="U378" s="76">
        <v>0</v>
      </c>
      <c r="V378" s="76"/>
      <c r="W378" s="76">
        <v>0</v>
      </c>
      <c r="X378" s="76"/>
      <c r="Y378" s="76">
        <v>0</v>
      </c>
      <c r="Z378" s="76"/>
      <c r="AA378" s="76">
        <v>43603</v>
      </c>
      <c r="AB378" s="76"/>
      <c r="AC378" s="76">
        <v>0</v>
      </c>
      <c r="AD378" s="76"/>
      <c r="AE378" s="76">
        <v>0</v>
      </c>
      <c r="AF378" s="76"/>
      <c r="AG378" s="76">
        <v>0</v>
      </c>
      <c r="AH378" s="76"/>
      <c r="AI378" s="76">
        <f t="shared" si="5"/>
        <v>182764</v>
      </c>
      <c r="AJ378" s="10"/>
    </row>
    <row r="379" spans="1:39" ht="12" customHeight="1" x14ac:dyDescent="0.2">
      <c r="A379" s="1" t="s">
        <v>123</v>
      </c>
      <c r="C379" s="1" t="s">
        <v>771</v>
      </c>
      <c r="E379" s="76">
        <v>10178.01</v>
      </c>
      <c r="F379" s="76"/>
      <c r="G379" s="76">
        <v>0</v>
      </c>
      <c r="H379" s="76"/>
      <c r="I379" s="76">
        <v>13608.84</v>
      </c>
      <c r="J379" s="76"/>
      <c r="K379" s="76">
        <v>0</v>
      </c>
      <c r="L379" s="76"/>
      <c r="M379" s="76">
        <v>0</v>
      </c>
      <c r="N379" s="76"/>
      <c r="O379" s="76">
        <v>0</v>
      </c>
      <c r="P379" s="76"/>
      <c r="Q379" s="76">
        <v>6.47</v>
      </c>
      <c r="R379" s="76"/>
      <c r="S379" s="76">
        <v>0</v>
      </c>
      <c r="T379" s="76"/>
      <c r="U379" s="76">
        <v>0</v>
      </c>
      <c r="V379" s="76"/>
      <c r="W379" s="76">
        <v>0</v>
      </c>
      <c r="X379" s="76"/>
      <c r="Y379" s="76">
        <v>0</v>
      </c>
      <c r="Z379" s="76"/>
      <c r="AA379" s="76">
        <v>0</v>
      </c>
      <c r="AB379" s="76"/>
      <c r="AC379" s="76">
        <v>0</v>
      </c>
      <c r="AD379" s="76"/>
      <c r="AE379" s="76">
        <v>0</v>
      </c>
      <c r="AF379" s="76"/>
      <c r="AG379" s="76">
        <v>0</v>
      </c>
      <c r="AH379"/>
      <c r="AI379" s="76">
        <f t="shared" si="5"/>
        <v>23793.32</v>
      </c>
      <c r="AJ379" s="10"/>
      <c r="AK379" s="21"/>
      <c r="AL379" s="21"/>
      <c r="AM379" s="21"/>
    </row>
    <row r="380" spans="1:39" ht="12" customHeight="1" x14ac:dyDescent="0.2">
      <c r="A380" s="1" t="s">
        <v>301</v>
      </c>
      <c r="C380" s="1" t="s">
        <v>299</v>
      </c>
      <c r="E380" s="76">
        <v>12815.88</v>
      </c>
      <c r="F380" s="76"/>
      <c r="G380" s="76">
        <v>0</v>
      </c>
      <c r="H380" s="76"/>
      <c r="I380" s="76">
        <v>10786.12</v>
      </c>
      <c r="J380" s="76"/>
      <c r="K380" s="76">
        <v>0</v>
      </c>
      <c r="L380" s="76"/>
      <c r="M380" s="76">
        <v>0</v>
      </c>
      <c r="N380" s="76"/>
      <c r="O380" s="76">
        <v>0</v>
      </c>
      <c r="P380" s="76"/>
      <c r="Q380" s="76">
        <v>6.69</v>
      </c>
      <c r="R380" s="76"/>
      <c r="S380" s="76">
        <v>1982.27</v>
      </c>
      <c r="T380" s="76"/>
      <c r="U380" s="76">
        <v>0</v>
      </c>
      <c r="V380" s="76"/>
      <c r="W380" s="76">
        <v>0</v>
      </c>
      <c r="X380" s="76"/>
      <c r="Y380" s="76">
        <v>0</v>
      </c>
      <c r="Z380" s="76"/>
      <c r="AA380" s="76">
        <v>0</v>
      </c>
      <c r="AB380" s="76"/>
      <c r="AC380" s="76">
        <v>0</v>
      </c>
      <c r="AD380" s="76"/>
      <c r="AE380" s="76">
        <v>0</v>
      </c>
      <c r="AF380" s="76"/>
      <c r="AG380" s="76">
        <v>0</v>
      </c>
      <c r="AH380"/>
      <c r="AI380" s="76">
        <f t="shared" si="5"/>
        <v>25590.959999999999</v>
      </c>
      <c r="AJ380" s="10"/>
      <c r="AK380" s="22"/>
      <c r="AL380" s="22"/>
      <c r="AM380" s="22"/>
    </row>
    <row r="381" spans="1:39" s="36" customFormat="1" ht="12" customHeight="1" x14ac:dyDescent="0.2">
      <c r="A381" s="1" t="s">
        <v>247</v>
      </c>
      <c r="B381" s="1"/>
      <c r="C381" s="1" t="s">
        <v>810</v>
      </c>
      <c r="D381" s="1"/>
      <c r="E381" s="76">
        <v>27616.22</v>
      </c>
      <c r="F381" s="76"/>
      <c r="G381" s="76">
        <v>0</v>
      </c>
      <c r="H381" s="76"/>
      <c r="I381" s="76">
        <v>26638.7</v>
      </c>
      <c r="J381" s="76"/>
      <c r="K381" s="76">
        <v>0</v>
      </c>
      <c r="L381" s="76"/>
      <c r="M381" s="76">
        <v>0</v>
      </c>
      <c r="N381" s="76"/>
      <c r="O381" s="76">
        <v>20166.7</v>
      </c>
      <c r="P381" s="76"/>
      <c r="Q381" s="76">
        <v>673.56</v>
      </c>
      <c r="R381" s="76"/>
      <c r="S381" s="76">
        <v>7115</v>
      </c>
      <c r="T381" s="76"/>
      <c r="U381" s="76">
        <v>0</v>
      </c>
      <c r="V381" s="76"/>
      <c r="W381" s="76">
        <v>0</v>
      </c>
      <c r="X381" s="76"/>
      <c r="Y381" s="76">
        <v>0</v>
      </c>
      <c r="Z381" s="76"/>
      <c r="AA381" s="76">
        <v>0</v>
      </c>
      <c r="AB381" s="76"/>
      <c r="AC381" s="76">
        <v>0</v>
      </c>
      <c r="AD381" s="76"/>
      <c r="AE381" s="76">
        <v>0</v>
      </c>
      <c r="AF381" s="76"/>
      <c r="AG381" s="76">
        <v>0</v>
      </c>
      <c r="AH381"/>
      <c r="AI381" s="76">
        <f t="shared" si="5"/>
        <v>82210.179999999993</v>
      </c>
      <c r="AJ381" s="10"/>
      <c r="AK381" s="1"/>
      <c r="AL381" s="1"/>
      <c r="AM381" s="1"/>
    </row>
    <row r="382" spans="1:39" s="21" customFormat="1" ht="12" customHeight="1" x14ac:dyDescent="0.2">
      <c r="A382" s="15" t="s">
        <v>322</v>
      </c>
      <c r="B382" s="15"/>
      <c r="C382" s="15" t="s">
        <v>316</v>
      </c>
      <c r="D382" s="15"/>
      <c r="E382" s="76">
        <f>169581+39449</f>
        <v>209030</v>
      </c>
      <c r="F382" s="76"/>
      <c r="G382" s="76">
        <v>15246801</v>
      </c>
      <c r="H382" s="76"/>
      <c r="I382" s="76">
        <v>1098718</v>
      </c>
      <c r="J382" s="76"/>
      <c r="K382" s="76">
        <v>0</v>
      </c>
      <c r="L382" s="76"/>
      <c r="M382" s="76">
        <f>852999+186135</f>
        <v>1039134</v>
      </c>
      <c r="N382" s="76"/>
      <c r="O382" s="76">
        <f>116269+159724</f>
        <v>275993</v>
      </c>
      <c r="P382" s="76"/>
      <c r="Q382" s="76">
        <v>13671</v>
      </c>
      <c r="R382" s="76"/>
      <c r="S382" s="76">
        <v>143547</v>
      </c>
      <c r="T382" s="76"/>
      <c r="U382" s="76">
        <v>0</v>
      </c>
      <c r="V382" s="76"/>
      <c r="W382" s="76">
        <v>0</v>
      </c>
      <c r="X382" s="76"/>
      <c r="Y382" s="76">
        <v>16301</v>
      </c>
      <c r="Z382" s="76"/>
      <c r="AA382" s="76">
        <v>0</v>
      </c>
      <c r="AB382" s="76"/>
      <c r="AC382" s="76">
        <v>0</v>
      </c>
      <c r="AD382" s="76"/>
      <c r="AE382" s="76">
        <v>0</v>
      </c>
      <c r="AF382" s="76"/>
      <c r="AG382" s="76">
        <v>0</v>
      </c>
      <c r="AH382" s="77"/>
      <c r="AI382" s="76">
        <f t="shared" si="5"/>
        <v>18043195</v>
      </c>
      <c r="AJ382" s="24"/>
      <c r="AK382" s="32"/>
      <c r="AL382" s="32"/>
      <c r="AM382" s="32"/>
    </row>
    <row r="383" spans="1:39" s="15" customFormat="1" ht="12" customHeight="1" x14ac:dyDescent="0.2">
      <c r="A383" s="1"/>
      <c r="B383" s="1"/>
      <c r="C383" s="1"/>
      <c r="D383" s="1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10"/>
      <c r="AK383" s="21"/>
      <c r="AL383" s="21"/>
      <c r="AM383" s="21"/>
    </row>
    <row r="384" spans="1:39" s="15" customFormat="1" ht="12" customHeight="1" x14ac:dyDescent="0.2">
      <c r="A384" s="1"/>
      <c r="B384" s="1"/>
      <c r="C384" s="1"/>
      <c r="D384" s="1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 t="s">
        <v>850</v>
      </c>
      <c r="AJ384" s="10"/>
      <c r="AK384" s="21"/>
      <c r="AL384" s="21"/>
      <c r="AM384" s="21"/>
    </row>
    <row r="385" spans="1:39" s="15" customFormat="1" ht="12" customHeight="1" x14ac:dyDescent="0.2">
      <c r="A385" s="1"/>
      <c r="B385" s="1"/>
      <c r="C385" s="1"/>
      <c r="D385" s="1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10"/>
      <c r="AK385" s="21"/>
      <c r="AL385" s="21"/>
      <c r="AM385" s="21"/>
    </row>
    <row r="386" spans="1:39" s="15" customFormat="1" ht="12" customHeight="1" x14ac:dyDescent="0.2">
      <c r="A386" s="15" t="s">
        <v>302</v>
      </c>
      <c r="C386" s="1" t="s">
        <v>82</v>
      </c>
      <c r="D386" s="1"/>
      <c r="E386" s="88">
        <v>74029.61</v>
      </c>
      <c r="F386" s="88"/>
      <c r="G386" s="88">
        <v>0</v>
      </c>
      <c r="H386" s="88"/>
      <c r="I386" s="88">
        <v>75763.69</v>
      </c>
      <c r="J386" s="88"/>
      <c r="K386" s="88">
        <v>0</v>
      </c>
      <c r="L386" s="88"/>
      <c r="M386" s="88">
        <v>0</v>
      </c>
      <c r="N386" s="88"/>
      <c r="O386" s="88">
        <v>17479.5</v>
      </c>
      <c r="P386" s="88"/>
      <c r="Q386" s="88">
        <v>539.84</v>
      </c>
      <c r="R386" s="88"/>
      <c r="S386" s="88">
        <v>16382.15</v>
      </c>
      <c r="T386" s="88"/>
      <c r="U386" s="88">
        <v>0</v>
      </c>
      <c r="V386" s="88"/>
      <c r="W386" s="88">
        <v>0</v>
      </c>
      <c r="X386" s="88"/>
      <c r="Y386" s="88">
        <v>0</v>
      </c>
      <c r="Z386" s="88"/>
      <c r="AA386" s="88">
        <v>0</v>
      </c>
      <c r="AB386" s="88"/>
      <c r="AC386" s="88">
        <v>0</v>
      </c>
      <c r="AD386" s="88"/>
      <c r="AE386" s="88">
        <v>608.53</v>
      </c>
      <c r="AF386" s="88"/>
      <c r="AG386" s="88">
        <v>0</v>
      </c>
      <c r="AH386" s="88"/>
      <c r="AI386" s="88">
        <f t="shared" si="5"/>
        <v>184803.31999999998</v>
      </c>
      <c r="AJ386" s="10"/>
      <c r="AK386" s="1"/>
      <c r="AL386" s="1"/>
      <c r="AM386" s="1"/>
    </row>
    <row r="387" spans="1:39" ht="12" customHeight="1" x14ac:dyDescent="0.2">
      <c r="A387" s="1" t="s">
        <v>108</v>
      </c>
      <c r="C387" s="1" t="s">
        <v>766</v>
      </c>
      <c r="E387" s="76">
        <v>23945.74</v>
      </c>
      <c r="F387" s="76"/>
      <c r="G387" s="76">
        <v>74445.86</v>
      </c>
      <c r="H387" s="76"/>
      <c r="I387" s="76">
        <v>32141.31</v>
      </c>
      <c r="J387" s="76"/>
      <c r="K387" s="76">
        <v>0</v>
      </c>
      <c r="L387" s="76"/>
      <c r="M387" s="76">
        <v>0</v>
      </c>
      <c r="N387" s="76"/>
      <c r="O387" s="76">
        <v>4471.49</v>
      </c>
      <c r="P387" s="76"/>
      <c r="Q387" s="76">
        <v>0</v>
      </c>
      <c r="R387" s="76"/>
      <c r="S387" s="76">
        <v>8025.9</v>
      </c>
      <c r="T387" s="76"/>
      <c r="U387" s="76">
        <v>0</v>
      </c>
      <c r="V387" s="76"/>
      <c r="W387" s="76">
        <v>0</v>
      </c>
      <c r="X387" s="76"/>
      <c r="Y387" s="76">
        <v>0</v>
      </c>
      <c r="Z387" s="76"/>
      <c r="AA387" s="76">
        <v>0</v>
      </c>
      <c r="AB387" s="76"/>
      <c r="AC387" s="76">
        <v>0</v>
      </c>
      <c r="AD387" s="76"/>
      <c r="AE387" s="76">
        <v>0</v>
      </c>
      <c r="AF387" s="76"/>
      <c r="AG387" s="76">
        <v>0</v>
      </c>
      <c r="AH387"/>
      <c r="AI387" s="76">
        <f t="shared" si="5"/>
        <v>143030.29999999999</v>
      </c>
      <c r="AJ387" s="10"/>
    </row>
    <row r="388" spans="1:39" s="21" customFormat="1" ht="12" customHeight="1" x14ac:dyDescent="0.2">
      <c r="A388" s="1" t="s">
        <v>389</v>
      </c>
      <c r="B388" s="1"/>
      <c r="C388" s="1" t="s">
        <v>388</v>
      </c>
      <c r="D388" s="1"/>
      <c r="E388" s="76">
        <v>57251</v>
      </c>
      <c r="F388" s="76"/>
      <c r="G388" s="76">
        <v>699845</v>
      </c>
      <c r="H388" s="76"/>
      <c r="I388" s="76">
        <v>64300</v>
      </c>
      <c r="J388" s="76"/>
      <c r="K388" s="76">
        <v>0</v>
      </c>
      <c r="L388" s="76"/>
      <c r="M388" s="76">
        <v>21735</v>
      </c>
      <c r="N388" s="76"/>
      <c r="O388" s="76">
        <v>9160</v>
      </c>
      <c r="P388" s="76"/>
      <c r="Q388" s="76">
        <v>4860</v>
      </c>
      <c r="R388" s="76"/>
      <c r="S388" s="76">
        <v>60249</v>
      </c>
      <c r="T388" s="76"/>
      <c r="U388" s="76">
        <v>0</v>
      </c>
      <c r="V388" s="76"/>
      <c r="W388" s="76">
        <v>0</v>
      </c>
      <c r="X388" s="76"/>
      <c r="Y388" s="76">
        <v>0</v>
      </c>
      <c r="Z388" s="76"/>
      <c r="AA388" s="76">
        <v>9434</v>
      </c>
      <c r="AB388" s="76"/>
      <c r="AC388" s="76">
        <v>0</v>
      </c>
      <c r="AD388" s="76"/>
      <c r="AE388" s="76">
        <v>0</v>
      </c>
      <c r="AF388" s="76"/>
      <c r="AG388" s="76">
        <v>0</v>
      </c>
      <c r="AH388" s="76"/>
      <c r="AI388" s="76">
        <f t="shared" si="5"/>
        <v>926834</v>
      </c>
      <c r="AJ388" s="10"/>
    </row>
    <row r="389" spans="1:39" s="21" customFormat="1" ht="12" customHeight="1" x14ac:dyDescent="0.2">
      <c r="A389" s="1" t="s">
        <v>168</v>
      </c>
      <c r="B389" s="1"/>
      <c r="C389" s="1" t="s">
        <v>787</v>
      </c>
      <c r="D389" s="1"/>
      <c r="E389" s="76">
        <v>32512.52</v>
      </c>
      <c r="F389" s="76"/>
      <c r="G389" s="76">
        <v>383694.39</v>
      </c>
      <c r="H389" s="76"/>
      <c r="I389" s="76">
        <v>78788.36</v>
      </c>
      <c r="J389" s="76"/>
      <c r="K389" s="76">
        <v>0</v>
      </c>
      <c r="L389" s="76"/>
      <c r="M389" s="76">
        <v>62515.58</v>
      </c>
      <c r="N389" s="76"/>
      <c r="O389" s="76">
        <v>46127.3</v>
      </c>
      <c r="P389" s="76"/>
      <c r="Q389" s="76">
        <v>31956.75</v>
      </c>
      <c r="R389" s="76"/>
      <c r="S389" s="76">
        <v>101387.07</v>
      </c>
      <c r="T389" s="76"/>
      <c r="U389" s="76">
        <v>0</v>
      </c>
      <c r="V389" s="76"/>
      <c r="W389" s="76">
        <v>0</v>
      </c>
      <c r="X389" s="76"/>
      <c r="Y389" s="76">
        <v>0</v>
      </c>
      <c r="Z389" s="76"/>
      <c r="AA389" s="76">
        <v>0</v>
      </c>
      <c r="AB389" s="76"/>
      <c r="AC389" s="76">
        <v>0</v>
      </c>
      <c r="AD389" s="76"/>
      <c r="AE389" s="76">
        <v>0</v>
      </c>
      <c r="AF389" s="76"/>
      <c r="AG389" s="76">
        <v>0</v>
      </c>
      <c r="AH389"/>
      <c r="AI389" s="76">
        <f t="shared" si="5"/>
        <v>736981.97</v>
      </c>
      <c r="AJ389" s="10"/>
      <c r="AK389" s="1"/>
      <c r="AL389" s="1"/>
      <c r="AM389" s="1"/>
    </row>
    <row r="390" spans="1:39" s="21" customFormat="1" ht="12" customHeight="1" x14ac:dyDescent="0.2">
      <c r="A390" s="1" t="s">
        <v>558</v>
      </c>
      <c r="B390" s="1"/>
      <c r="C390" s="1" t="s">
        <v>557</v>
      </c>
      <c r="D390" s="1"/>
      <c r="E390" s="76">
        <v>156196</v>
      </c>
      <c r="F390" s="76"/>
      <c r="G390" s="76">
        <v>0</v>
      </c>
      <c r="H390" s="76"/>
      <c r="I390" s="76">
        <v>52602</v>
      </c>
      <c r="J390" s="76"/>
      <c r="K390" s="76">
        <v>0</v>
      </c>
      <c r="L390" s="76"/>
      <c r="M390" s="76">
        <v>24544</v>
      </c>
      <c r="N390" s="76"/>
      <c r="O390" s="76">
        <v>27835</v>
      </c>
      <c r="P390" s="76"/>
      <c r="Q390" s="76">
        <v>9695</v>
      </c>
      <c r="R390" s="76"/>
      <c r="S390" s="76">
        <v>47191</v>
      </c>
      <c r="T390" s="76"/>
      <c r="U390" s="76">
        <v>0</v>
      </c>
      <c r="V390" s="76"/>
      <c r="W390" s="76">
        <v>0</v>
      </c>
      <c r="X390" s="76"/>
      <c r="Y390" s="76">
        <v>0</v>
      </c>
      <c r="Z390" s="76"/>
      <c r="AA390" s="76">
        <v>725000</v>
      </c>
      <c r="AB390" s="76"/>
      <c r="AC390" s="76">
        <v>0</v>
      </c>
      <c r="AD390" s="76"/>
      <c r="AE390" s="76">
        <v>0</v>
      </c>
      <c r="AF390" s="76"/>
      <c r="AG390" s="76">
        <v>0</v>
      </c>
      <c r="AH390" s="76"/>
      <c r="AI390" s="76">
        <f t="shared" si="5"/>
        <v>1043063</v>
      </c>
      <c r="AJ390" s="10"/>
      <c r="AK390" s="1"/>
      <c r="AL390" s="1"/>
      <c r="AM390" s="1"/>
    </row>
    <row r="391" spans="1:39" ht="12" customHeight="1" x14ac:dyDescent="0.2">
      <c r="A391" s="1" t="s">
        <v>399</v>
      </c>
      <c r="C391" s="1" t="s">
        <v>396</v>
      </c>
      <c r="E391" s="76">
        <v>6488</v>
      </c>
      <c r="F391" s="76"/>
      <c r="G391" s="76">
        <v>52590</v>
      </c>
      <c r="H391" s="76"/>
      <c r="I391" s="76">
        <v>48111</v>
      </c>
      <c r="J391" s="76"/>
      <c r="K391" s="76">
        <v>0</v>
      </c>
      <c r="L391" s="76"/>
      <c r="M391" s="76">
        <v>9600</v>
      </c>
      <c r="N391" s="76"/>
      <c r="O391" s="76">
        <v>2662</v>
      </c>
      <c r="P391" s="76"/>
      <c r="Q391" s="76">
        <v>898</v>
      </c>
      <c r="R391" s="76"/>
      <c r="S391" s="76">
        <v>7815</v>
      </c>
      <c r="T391" s="76"/>
      <c r="U391" s="76">
        <v>0</v>
      </c>
      <c r="V391" s="76"/>
      <c r="W391" s="76">
        <v>0</v>
      </c>
      <c r="X391" s="76"/>
      <c r="Y391" s="76">
        <v>0</v>
      </c>
      <c r="Z391" s="76"/>
      <c r="AA391" s="76">
        <v>0</v>
      </c>
      <c r="AB391" s="76"/>
      <c r="AC391" s="76">
        <v>0</v>
      </c>
      <c r="AD391" s="76"/>
      <c r="AE391" s="76">
        <v>0</v>
      </c>
      <c r="AF391" s="76"/>
      <c r="AG391" s="76">
        <v>0</v>
      </c>
      <c r="AH391" s="76"/>
      <c r="AI391" s="76">
        <f t="shared" si="5"/>
        <v>128164</v>
      </c>
      <c r="AJ391" s="10"/>
    </row>
    <row r="392" spans="1:39" ht="12" hidden="1" customHeight="1" x14ac:dyDescent="0.2">
      <c r="A392" s="1" t="s">
        <v>286</v>
      </c>
      <c r="C392" s="1" t="s">
        <v>287</v>
      </c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>
        <f t="shared" si="5"/>
        <v>0</v>
      </c>
      <c r="AJ392" s="10"/>
    </row>
    <row r="393" spans="1:39" s="21" customFormat="1" ht="12" customHeight="1" x14ac:dyDescent="0.2">
      <c r="A393" s="1" t="s">
        <v>185</v>
      </c>
      <c r="B393" s="1"/>
      <c r="C393" s="1" t="s">
        <v>792</v>
      </c>
      <c r="D393" s="1"/>
      <c r="E393" s="76">
        <v>5162.4399999999996</v>
      </c>
      <c r="F393" s="76"/>
      <c r="G393" s="76">
        <v>18213.900000000001</v>
      </c>
      <c r="H393" s="76"/>
      <c r="I393" s="76">
        <v>13399.62</v>
      </c>
      <c r="J393" s="76"/>
      <c r="K393" s="76">
        <v>0</v>
      </c>
      <c r="L393" s="76"/>
      <c r="M393" s="76">
        <v>0</v>
      </c>
      <c r="N393" s="76"/>
      <c r="O393" s="76">
        <v>294.11</v>
      </c>
      <c r="P393" s="76"/>
      <c r="Q393" s="76">
        <v>0</v>
      </c>
      <c r="R393" s="76"/>
      <c r="S393" s="76">
        <v>819.02</v>
      </c>
      <c r="T393" s="76"/>
      <c r="U393" s="76">
        <v>0</v>
      </c>
      <c r="V393" s="76"/>
      <c r="W393" s="76">
        <v>0</v>
      </c>
      <c r="X393" s="76"/>
      <c r="Y393" s="76">
        <v>0</v>
      </c>
      <c r="Z393" s="76"/>
      <c r="AA393" s="76">
        <v>0</v>
      </c>
      <c r="AB393" s="76"/>
      <c r="AC393" s="76">
        <v>0</v>
      </c>
      <c r="AD393" s="76"/>
      <c r="AE393" s="76">
        <v>0</v>
      </c>
      <c r="AF393" s="76"/>
      <c r="AG393" s="76">
        <v>0</v>
      </c>
      <c r="AH393"/>
      <c r="AI393" s="76">
        <f t="shared" si="5"/>
        <v>37889.089999999997</v>
      </c>
      <c r="AJ393" s="10"/>
      <c r="AK393" s="1"/>
      <c r="AL393" s="1"/>
      <c r="AM393" s="1"/>
    </row>
    <row r="394" spans="1:39" ht="12" customHeight="1" x14ac:dyDescent="0.2">
      <c r="A394" s="1" t="s">
        <v>834</v>
      </c>
      <c r="C394" s="1" t="s">
        <v>783</v>
      </c>
      <c r="E394" s="76">
        <v>27424.07</v>
      </c>
      <c r="F394" s="76"/>
      <c r="G394" s="76">
        <v>0</v>
      </c>
      <c r="H394" s="76"/>
      <c r="I394" s="76">
        <v>12835.76</v>
      </c>
      <c r="J394" s="76"/>
      <c r="K394" s="76">
        <v>0</v>
      </c>
      <c r="L394" s="76"/>
      <c r="M394" s="76">
        <v>0</v>
      </c>
      <c r="N394" s="76"/>
      <c r="O394" s="76">
        <v>4952.74</v>
      </c>
      <c r="P394" s="76"/>
      <c r="Q394" s="76">
        <v>187.12</v>
      </c>
      <c r="R394" s="76"/>
      <c r="S394" s="76">
        <v>1242.1199999999999</v>
      </c>
      <c r="T394" s="76"/>
      <c r="U394" s="76">
        <v>0</v>
      </c>
      <c r="V394" s="76"/>
      <c r="W394" s="76">
        <v>0</v>
      </c>
      <c r="X394" s="76"/>
      <c r="Y394" s="76">
        <v>0</v>
      </c>
      <c r="Z394" s="76"/>
      <c r="AA394" s="76">
        <v>0</v>
      </c>
      <c r="AB394" s="76"/>
      <c r="AC394" s="76">
        <v>0</v>
      </c>
      <c r="AD394" s="76"/>
      <c r="AE394" s="76">
        <v>0</v>
      </c>
      <c r="AF394" s="76"/>
      <c r="AG394" s="76">
        <v>0</v>
      </c>
      <c r="AH394" s="81"/>
      <c r="AI394" s="76">
        <f t="shared" si="5"/>
        <v>46641.810000000005</v>
      </c>
      <c r="AJ394" s="10"/>
    </row>
    <row r="395" spans="1:39" ht="12" customHeight="1" x14ac:dyDescent="0.2">
      <c r="A395" s="1" t="s">
        <v>361</v>
      </c>
      <c r="C395" s="1" t="s">
        <v>358</v>
      </c>
      <c r="E395" s="76">
        <v>31974</v>
      </c>
      <c r="F395" s="76"/>
      <c r="G395" s="76">
        <v>235259</v>
      </c>
      <c r="H395" s="76"/>
      <c r="I395" s="76">
        <v>28793</v>
      </c>
      <c r="J395" s="76"/>
      <c r="K395" s="76">
        <v>0</v>
      </c>
      <c r="L395" s="76"/>
      <c r="M395" s="76">
        <v>1160</v>
      </c>
      <c r="N395" s="76"/>
      <c r="O395" s="76">
        <v>830</v>
      </c>
      <c r="P395" s="76"/>
      <c r="Q395" s="76">
        <v>291</v>
      </c>
      <c r="R395" s="76"/>
      <c r="S395" s="76">
        <v>28555</v>
      </c>
      <c r="T395" s="76"/>
      <c r="U395" s="76">
        <v>0</v>
      </c>
      <c r="V395" s="76"/>
      <c r="W395" s="76">
        <v>0</v>
      </c>
      <c r="X395" s="76"/>
      <c r="Y395" s="76">
        <v>8190</v>
      </c>
      <c r="Z395" s="76"/>
      <c r="AA395" s="76">
        <v>0</v>
      </c>
      <c r="AB395" s="76"/>
      <c r="AC395" s="76">
        <v>0</v>
      </c>
      <c r="AD395" s="76"/>
      <c r="AE395" s="76">
        <v>0</v>
      </c>
      <c r="AF395" s="76"/>
      <c r="AG395" s="76">
        <v>0</v>
      </c>
      <c r="AH395" s="76"/>
      <c r="AI395" s="76">
        <f t="shared" si="5"/>
        <v>335052</v>
      </c>
      <c r="AJ395" s="10"/>
      <c r="AK395" s="21"/>
      <c r="AL395" s="21"/>
      <c r="AM395" s="21"/>
    </row>
    <row r="396" spans="1:39" ht="12" customHeight="1" x14ac:dyDescent="0.2">
      <c r="A396" s="1" t="s">
        <v>227</v>
      </c>
      <c r="C396" s="1" t="s">
        <v>804</v>
      </c>
      <c r="E396" s="76">
        <v>54631.78</v>
      </c>
      <c r="F396" s="76"/>
      <c r="G396" s="76">
        <v>0</v>
      </c>
      <c r="H396" s="76"/>
      <c r="I396" s="76">
        <v>18346.310000000001</v>
      </c>
      <c r="J396" s="76"/>
      <c r="K396" s="76">
        <v>0</v>
      </c>
      <c r="L396" s="76"/>
      <c r="M396" s="76">
        <v>19400</v>
      </c>
      <c r="N396" s="76"/>
      <c r="O396" s="76">
        <v>13725.86</v>
      </c>
      <c r="P396" s="76"/>
      <c r="Q396" s="76">
        <v>166.08</v>
      </c>
      <c r="R396" s="76"/>
      <c r="S396" s="76">
        <v>10564.45</v>
      </c>
      <c r="T396" s="76"/>
      <c r="U396" s="76">
        <v>0</v>
      </c>
      <c r="V396" s="76"/>
      <c r="W396" s="76">
        <v>0</v>
      </c>
      <c r="X396" s="76"/>
      <c r="Y396" s="76">
        <v>0</v>
      </c>
      <c r="Z396" s="76"/>
      <c r="AA396" s="76">
        <v>0</v>
      </c>
      <c r="AB396" s="76"/>
      <c r="AC396" s="76">
        <v>0</v>
      </c>
      <c r="AD396" s="76"/>
      <c r="AE396" s="76">
        <v>0</v>
      </c>
      <c r="AF396" s="76"/>
      <c r="AG396" s="76">
        <v>0</v>
      </c>
      <c r="AH396" s="81"/>
      <c r="AI396" s="76">
        <f t="shared" si="5"/>
        <v>116834.48</v>
      </c>
      <c r="AJ396" s="10"/>
    </row>
    <row r="397" spans="1:39" s="21" customFormat="1" ht="12" customHeight="1" x14ac:dyDescent="0.2">
      <c r="A397" s="1" t="s">
        <v>929</v>
      </c>
      <c r="B397" s="1"/>
      <c r="C397" s="1" t="s">
        <v>572</v>
      </c>
      <c r="D397" s="1"/>
      <c r="E397" s="76">
        <v>12321.03</v>
      </c>
      <c r="F397" s="76"/>
      <c r="G397" s="76">
        <v>65210.11</v>
      </c>
      <c r="H397" s="76"/>
      <c r="I397" s="76">
        <v>28768.31</v>
      </c>
      <c r="J397" s="76"/>
      <c r="K397" s="76">
        <v>0</v>
      </c>
      <c r="L397" s="76"/>
      <c r="M397" s="76">
        <v>4535</v>
      </c>
      <c r="N397" s="76"/>
      <c r="O397" s="76">
        <v>2831.6</v>
      </c>
      <c r="P397" s="76"/>
      <c r="Q397" s="76">
        <v>34.11</v>
      </c>
      <c r="R397" s="76"/>
      <c r="S397" s="76">
        <v>3493.38</v>
      </c>
      <c r="T397" s="76"/>
      <c r="U397" s="76">
        <v>0</v>
      </c>
      <c r="V397" s="76"/>
      <c r="W397" s="76">
        <v>0</v>
      </c>
      <c r="X397" s="76"/>
      <c r="Y397" s="76">
        <v>0</v>
      </c>
      <c r="Z397" s="76"/>
      <c r="AA397" s="76">
        <v>0</v>
      </c>
      <c r="AB397" s="76"/>
      <c r="AC397" s="76">
        <v>17500</v>
      </c>
      <c r="AD397" s="76"/>
      <c r="AE397" s="76">
        <v>0</v>
      </c>
      <c r="AF397" s="76"/>
      <c r="AG397" s="76">
        <v>0</v>
      </c>
      <c r="AH397"/>
      <c r="AI397" s="76">
        <f t="shared" si="5"/>
        <v>134693.54</v>
      </c>
      <c r="AJ397" s="10"/>
      <c r="AK397" s="1"/>
      <c r="AL397" s="1"/>
      <c r="AM397" s="1"/>
    </row>
    <row r="398" spans="1:39" ht="12" customHeight="1" x14ac:dyDescent="0.2">
      <c r="A398" s="1" t="s">
        <v>367</v>
      </c>
      <c r="C398" s="1" t="s">
        <v>368</v>
      </c>
      <c r="E398" s="76">
        <v>241798</v>
      </c>
      <c r="F398" s="76"/>
      <c r="G398" s="76">
        <v>12767</v>
      </c>
      <c r="H398" s="76"/>
      <c r="I398" s="76">
        <v>146517</v>
      </c>
      <c r="J398" s="76"/>
      <c r="K398" s="76">
        <v>0</v>
      </c>
      <c r="L398" s="76"/>
      <c r="M398" s="76">
        <v>22682</v>
      </c>
      <c r="N398" s="76"/>
      <c r="O398" s="76">
        <v>58551</v>
      </c>
      <c r="P398" s="76"/>
      <c r="Q398" s="76">
        <v>5435</v>
      </c>
      <c r="R398" s="76"/>
      <c r="S398" s="76">
        <v>16193</v>
      </c>
      <c r="T398" s="76"/>
      <c r="U398" s="76">
        <v>0</v>
      </c>
      <c r="V398" s="76"/>
      <c r="W398" s="76">
        <v>0</v>
      </c>
      <c r="X398" s="76"/>
      <c r="Y398" s="76">
        <v>8305</v>
      </c>
      <c r="Z398" s="76"/>
      <c r="AA398" s="76">
        <v>1000000</v>
      </c>
      <c r="AB398" s="76"/>
      <c r="AC398" s="76">
        <v>0</v>
      </c>
      <c r="AD398" s="76"/>
      <c r="AE398" s="76">
        <v>0</v>
      </c>
      <c r="AF398" s="76"/>
      <c r="AG398" s="76">
        <v>0</v>
      </c>
      <c r="AH398" s="76"/>
      <c r="AI398" s="76">
        <f t="shared" si="5"/>
        <v>1512248</v>
      </c>
      <c r="AJ398" s="10"/>
      <c r="AK398" s="21"/>
      <c r="AL398" s="21"/>
      <c r="AM398" s="21"/>
    </row>
    <row r="399" spans="1:39" s="19" customFormat="1" ht="12" customHeight="1" x14ac:dyDescent="0.2">
      <c r="A399" s="1" t="s">
        <v>156</v>
      </c>
      <c r="B399" s="1"/>
      <c r="C399" s="1" t="s">
        <v>464</v>
      </c>
      <c r="D399" s="1"/>
      <c r="E399" s="76">
        <v>74107.679999999993</v>
      </c>
      <c r="F399" s="76"/>
      <c r="G399" s="76">
        <v>219616.28</v>
      </c>
      <c r="H399" s="76"/>
      <c r="I399" s="76">
        <v>101538.29</v>
      </c>
      <c r="J399" s="76"/>
      <c r="K399" s="76">
        <v>0</v>
      </c>
      <c r="L399" s="76"/>
      <c r="M399" s="76">
        <v>178215</v>
      </c>
      <c r="N399" s="76"/>
      <c r="O399" s="76">
        <v>112954.74</v>
      </c>
      <c r="P399" s="76"/>
      <c r="Q399" s="76">
        <v>1294</v>
      </c>
      <c r="R399" s="76"/>
      <c r="S399" s="76">
        <v>29325.9</v>
      </c>
      <c r="T399" s="76"/>
      <c r="U399" s="76">
        <v>0</v>
      </c>
      <c r="V399" s="76"/>
      <c r="W399" s="76">
        <v>0</v>
      </c>
      <c r="X399" s="76"/>
      <c r="Y399" s="76">
        <v>0</v>
      </c>
      <c r="Z399" s="76"/>
      <c r="AA399" s="76">
        <v>0</v>
      </c>
      <c r="AB399" s="76"/>
      <c r="AC399" s="76">
        <v>0</v>
      </c>
      <c r="AD399" s="76"/>
      <c r="AE399" s="76">
        <v>0</v>
      </c>
      <c r="AF399" s="76"/>
      <c r="AG399" s="76">
        <v>0</v>
      </c>
      <c r="AH399"/>
      <c r="AI399" s="76">
        <f t="shared" si="5"/>
        <v>717051.89</v>
      </c>
      <c r="AJ399" s="10"/>
      <c r="AK399" s="1"/>
      <c r="AL399" s="1"/>
      <c r="AM399" s="1"/>
    </row>
    <row r="400" spans="1:39" s="31" customFormat="1" ht="12" customHeight="1" x14ac:dyDescent="0.2">
      <c r="A400" s="1" t="s">
        <v>891</v>
      </c>
      <c r="B400" s="1"/>
      <c r="C400" s="1" t="s">
        <v>299</v>
      </c>
      <c r="D400" s="1"/>
      <c r="E400" s="76">
        <v>14563.59</v>
      </c>
      <c r="F400" s="76"/>
      <c r="G400" s="76">
        <v>0</v>
      </c>
      <c r="H400" s="76"/>
      <c r="I400" s="76">
        <v>9969.39</v>
      </c>
      <c r="J400" s="76"/>
      <c r="K400" s="76">
        <v>0</v>
      </c>
      <c r="L400" s="76"/>
      <c r="M400" s="76">
        <v>0</v>
      </c>
      <c r="N400" s="76"/>
      <c r="O400" s="76">
        <v>2903.82</v>
      </c>
      <c r="P400" s="76"/>
      <c r="Q400" s="76">
        <v>0</v>
      </c>
      <c r="R400" s="76"/>
      <c r="S400" s="76">
        <v>0</v>
      </c>
      <c r="T400" s="76"/>
      <c r="U400" s="76">
        <v>0</v>
      </c>
      <c r="V400" s="76"/>
      <c r="W400" s="76">
        <v>0</v>
      </c>
      <c r="X400" s="76"/>
      <c r="Y400" s="76">
        <v>0</v>
      </c>
      <c r="Z400" s="76"/>
      <c r="AA400" s="76">
        <v>0</v>
      </c>
      <c r="AB400" s="76"/>
      <c r="AC400" s="76">
        <v>0</v>
      </c>
      <c r="AD400" s="76"/>
      <c r="AE400" s="76">
        <v>0</v>
      </c>
      <c r="AF400" s="76"/>
      <c r="AG400" s="76">
        <v>0</v>
      </c>
      <c r="AH400"/>
      <c r="AI400" s="76">
        <f t="shared" si="5"/>
        <v>27436.799999999999</v>
      </c>
      <c r="AJ400" s="10"/>
      <c r="AK400" s="1"/>
      <c r="AL400" s="1"/>
      <c r="AM400" s="1"/>
    </row>
    <row r="401" spans="1:39" s="21" customFormat="1" ht="12" customHeight="1" x14ac:dyDescent="0.2">
      <c r="A401" s="1" t="s">
        <v>233</v>
      </c>
      <c r="B401" s="1"/>
      <c r="C401" s="1" t="s">
        <v>806</v>
      </c>
      <c r="D401" s="1"/>
      <c r="E401" s="76">
        <v>11605.71</v>
      </c>
      <c r="F401" s="76"/>
      <c r="G401" s="76">
        <v>170430.01</v>
      </c>
      <c r="H401" s="76"/>
      <c r="I401" s="76">
        <v>27125.74</v>
      </c>
      <c r="J401" s="76"/>
      <c r="K401" s="76">
        <v>0</v>
      </c>
      <c r="L401" s="76"/>
      <c r="M401" s="76">
        <v>3077.41</v>
      </c>
      <c r="N401" s="76"/>
      <c r="O401" s="76">
        <v>249</v>
      </c>
      <c r="P401" s="76"/>
      <c r="Q401" s="76">
        <v>35.130000000000003</v>
      </c>
      <c r="R401" s="76"/>
      <c r="S401" s="76">
        <v>10168.5</v>
      </c>
      <c r="T401" s="76"/>
      <c r="U401" s="76">
        <v>0</v>
      </c>
      <c r="V401" s="76"/>
      <c r="W401" s="76">
        <v>0</v>
      </c>
      <c r="X401" s="76"/>
      <c r="Y401" s="76">
        <v>0</v>
      </c>
      <c r="Z401" s="76"/>
      <c r="AA401" s="76">
        <v>0</v>
      </c>
      <c r="AB401" s="76"/>
      <c r="AC401" s="76">
        <v>0</v>
      </c>
      <c r="AD401" s="76"/>
      <c r="AE401" s="76">
        <v>90942</v>
      </c>
      <c r="AF401" s="76"/>
      <c r="AG401" s="76">
        <v>2106.75</v>
      </c>
      <c r="AH401"/>
      <c r="AI401" s="76">
        <f t="shared" si="5"/>
        <v>315740.25</v>
      </c>
      <c r="AJ401" s="10"/>
      <c r="AK401" s="1"/>
      <c r="AL401" s="1"/>
      <c r="AM401" s="1"/>
    </row>
    <row r="402" spans="1:39" ht="12" customHeight="1" x14ac:dyDescent="0.2">
      <c r="A402" s="1" t="s">
        <v>459</v>
      </c>
      <c r="C402" s="1" t="s">
        <v>432</v>
      </c>
      <c r="E402" s="76">
        <v>30013</v>
      </c>
      <c r="F402" s="76"/>
      <c r="G402" s="76">
        <v>0</v>
      </c>
      <c r="H402" s="76"/>
      <c r="I402" s="76">
        <v>0</v>
      </c>
      <c r="J402" s="76"/>
      <c r="K402" s="76">
        <v>0</v>
      </c>
      <c r="L402" s="76"/>
      <c r="M402" s="76">
        <v>0</v>
      </c>
      <c r="N402" s="76"/>
      <c r="O402" s="76">
        <v>0</v>
      </c>
      <c r="P402" s="76"/>
      <c r="Q402" s="76">
        <v>0</v>
      </c>
      <c r="R402" s="76"/>
      <c r="S402" s="76">
        <v>0</v>
      </c>
      <c r="T402" s="76"/>
      <c r="U402" s="76">
        <v>0</v>
      </c>
      <c r="V402" s="76"/>
      <c r="W402" s="76">
        <v>0</v>
      </c>
      <c r="X402" s="76"/>
      <c r="Y402" s="76">
        <v>0</v>
      </c>
      <c r="Z402" s="76"/>
      <c r="AA402" s="76">
        <v>0</v>
      </c>
      <c r="AB402" s="76"/>
      <c r="AC402" s="76">
        <v>0</v>
      </c>
      <c r="AD402" s="76"/>
      <c r="AE402" s="76">
        <v>0</v>
      </c>
      <c r="AF402" s="76"/>
      <c r="AG402" s="76">
        <v>0</v>
      </c>
      <c r="AH402" s="76"/>
      <c r="AI402" s="76">
        <f t="shared" si="5"/>
        <v>30013</v>
      </c>
      <c r="AJ402" s="10"/>
    </row>
    <row r="403" spans="1:39" ht="12" customHeight="1" x14ac:dyDescent="0.2">
      <c r="A403" s="1" t="s">
        <v>8</v>
      </c>
      <c r="C403" s="1" t="s">
        <v>666</v>
      </c>
      <c r="E403" s="76">
        <v>14987.91</v>
      </c>
      <c r="F403" s="76"/>
      <c r="G403" s="76">
        <v>0</v>
      </c>
      <c r="H403" s="76"/>
      <c r="I403" s="76">
        <v>44125.96</v>
      </c>
      <c r="J403" s="76"/>
      <c r="K403" s="76">
        <v>0</v>
      </c>
      <c r="L403" s="76"/>
      <c r="M403" s="76">
        <v>0</v>
      </c>
      <c r="N403" s="76"/>
      <c r="O403" s="76">
        <v>15334</v>
      </c>
      <c r="P403" s="76"/>
      <c r="Q403" s="76">
        <v>13.08</v>
      </c>
      <c r="R403" s="76"/>
      <c r="S403" s="76">
        <v>0</v>
      </c>
      <c r="T403" s="76"/>
      <c r="U403" s="76">
        <v>0</v>
      </c>
      <c r="V403" s="76"/>
      <c r="W403" s="76">
        <v>0</v>
      </c>
      <c r="X403" s="76"/>
      <c r="Y403" s="76">
        <v>0</v>
      </c>
      <c r="Z403" s="76"/>
      <c r="AA403" s="76">
        <v>0</v>
      </c>
      <c r="AB403" s="76"/>
      <c r="AC403" s="76">
        <v>0</v>
      </c>
      <c r="AD403" s="76"/>
      <c r="AE403" s="76">
        <v>0</v>
      </c>
      <c r="AF403" s="76"/>
      <c r="AG403" s="76">
        <v>0</v>
      </c>
      <c r="AH403"/>
      <c r="AI403" s="76">
        <f t="shared" si="5"/>
        <v>74460.95</v>
      </c>
      <c r="AJ403" s="10"/>
      <c r="AK403" s="7"/>
      <c r="AL403" s="7"/>
      <c r="AM403" s="7"/>
    </row>
    <row r="404" spans="1:39" ht="12" customHeight="1" x14ac:dyDescent="0.2">
      <c r="A404" s="1" t="s">
        <v>347</v>
      </c>
      <c r="C404" s="1" t="s">
        <v>348</v>
      </c>
      <c r="E404" s="76">
        <v>132170</v>
      </c>
      <c r="F404" s="76"/>
      <c r="G404" s="76">
        <v>418224</v>
      </c>
      <c r="H404" s="76"/>
      <c r="I404" s="76">
        <v>77209</v>
      </c>
      <c r="J404" s="76"/>
      <c r="K404" s="76">
        <v>0</v>
      </c>
      <c r="L404" s="76"/>
      <c r="M404" s="76">
        <v>0</v>
      </c>
      <c r="N404" s="76"/>
      <c r="O404" s="76">
        <v>72833</v>
      </c>
      <c r="P404" s="76"/>
      <c r="Q404" s="76">
        <v>2061</v>
      </c>
      <c r="R404" s="76"/>
      <c r="S404" s="76">
        <v>0</v>
      </c>
      <c r="T404" s="76"/>
      <c r="U404" s="76">
        <v>0</v>
      </c>
      <c r="V404" s="76"/>
      <c r="W404" s="76">
        <v>0</v>
      </c>
      <c r="X404" s="76"/>
      <c r="Y404" s="76">
        <v>0</v>
      </c>
      <c r="Z404" s="76"/>
      <c r="AA404" s="76">
        <v>0</v>
      </c>
      <c r="AB404" s="76"/>
      <c r="AC404" s="76">
        <v>0</v>
      </c>
      <c r="AD404" s="76"/>
      <c r="AE404" s="76">
        <v>0</v>
      </c>
      <c r="AF404" s="76"/>
      <c r="AG404" s="76">
        <v>0</v>
      </c>
      <c r="AH404" s="76"/>
      <c r="AI404" s="76">
        <f t="shared" si="5"/>
        <v>702497</v>
      </c>
      <c r="AJ404" s="10"/>
      <c r="AK404" s="22"/>
      <c r="AL404" s="22"/>
      <c r="AM404" s="22"/>
    </row>
    <row r="405" spans="1:39" s="15" customFormat="1" ht="12" customHeight="1" x14ac:dyDescent="0.2">
      <c r="A405" s="1" t="s">
        <v>237</v>
      </c>
      <c r="B405" s="1"/>
      <c r="C405" s="1" t="s">
        <v>807</v>
      </c>
      <c r="D405" s="1"/>
      <c r="E405" s="76">
        <v>19532.400000000001</v>
      </c>
      <c r="F405" s="76"/>
      <c r="G405" s="76">
        <v>103217.27</v>
      </c>
      <c r="H405" s="76"/>
      <c r="I405" s="76">
        <v>2813.22</v>
      </c>
      <c r="J405" s="76"/>
      <c r="K405" s="76">
        <v>0</v>
      </c>
      <c r="L405" s="76"/>
      <c r="M405" s="76">
        <v>0</v>
      </c>
      <c r="N405" s="76"/>
      <c r="O405" s="76">
        <v>5019</v>
      </c>
      <c r="P405" s="76"/>
      <c r="Q405" s="76">
        <v>62.87</v>
      </c>
      <c r="R405" s="76"/>
      <c r="S405" s="76">
        <v>725.62</v>
      </c>
      <c r="T405" s="76"/>
      <c r="U405" s="76">
        <v>0</v>
      </c>
      <c r="V405" s="76"/>
      <c r="W405" s="76">
        <v>0</v>
      </c>
      <c r="X405" s="76"/>
      <c r="Y405" s="76">
        <v>0</v>
      </c>
      <c r="Z405" s="76"/>
      <c r="AA405" s="76">
        <v>0</v>
      </c>
      <c r="AB405" s="76"/>
      <c r="AC405" s="76">
        <v>3000</v>
      </c>
      <c r="AD405" s="76"/>
      <c r="AE405" s="76">
        <v>0</v>
      </c>
      <c r="AF405" s="76"/>
      <c r="AG405" s="76">
        <v>0</v>
      </c>
      <c r="AH405"/>
      <c r="AI405" s="76">
        <f t="shared" si="5"/>
        <v>134370.38</v>
      </c>
      <c r="AJ405" s="10"/>
      <c r="AK405" s="1"/>
      <c r="AL405" s="1"/>
      <c r="AM405" s="1"/>
    </row>
    <row r="406" spans="1:39" ht="12" customHeight="1" x14ac:dyDescent="0.2">
      <c r="A406" s="1" t="s">
        <v>258</v>
      </c>
      <c r="C406" s="1" t="s">
        <v>813</v>
      </c>
      <c r="E406" s="76">
        <v>20873.650000000001</v>
      </c>
      <c r="F406" s="76"/>
      <c r="G406" s="76">
        <v>0</v>
      </c>
      <c r="H406" s="76"/>
      <c r="I406" s="76">
        <v>17953.490000000002</v>
      </c>
      <c r="J406" s="76"/>
      <c r="K406" s="76">
        <v>0</v>
      </c>
      <c r="L406" s="76"/>
      <c r="M406" s="76">
        <v>3614.85</v>
      </c>
      <c r="N406" s="76"/>
      <c r="O406" s="76">
        <v>18682.099999999999</v>
      </c>
      <c r="P406" s="76"/>
      <c r="Q406" s="76">
        <v>485.33</v>
      </c>
      <c r="R406" s="76"/>
      <c r="S406" s="76">
        <v>629.84</v>
      </c>
      <c r="T406" s="76"/>
      <c r="U406" s="76">
        <v>0</v>
      </c>
      <c r="V406" s="76"/>
      <c r="W406" s="76">
        <v>0</v>
      </c>
      <c r="X406" s="76"/>
      <c r="Y406" s="76">
        <v>0</v>
      </c>
      <c r="Z406" s="76"/>
      <c r="AA406" s="76">
        <v>130843.04</v>
      </c>
      <c r="AB406" s="76"/>
      <c r="AC406" s="76">
        <v>0</v>
      </c>
      <c r="AD406" s="76"/>
      <c r="AE406" s="76">
        <v>0</v>
      </c>
      <c r="AF406" s="76"/>
      <c r="AG406" s="76">
        <v>0</v>
      </c>
      <c r="AH406"/>
      <c r="AI406" s="76">
        <f t="shared" si="5"/>
        <v>193082.3</v>
      </c>
      <c r="AJ406" s="10"/>
    </row>
    <row r="407" spans="1:39" s="21" customFormat="1" ht="12" customHeight="1" x14ac:dyDescent="0.2">
      <c r="A407" s="10" t="s">
        <v>70</v>
      </c>
      <c r="B407" s="10"/>
      <c r="C407" s="10" t="s">
        <v>757</v>
      </c>
      <c r="D407" s="10"/>
      <c r="E407" s="76">
        <v>10804.46</v>
      </c>
      <c r="F407" s="76"/>
      <c r="G407" s="76">
        <v>0</v>
      </c>
      <c r="H407" s="76"/>
      <c r="I407" s="76">
        <v>6877.19</v>
      </c>
      <c r="J407" s="76"/>
      <c r="K407" s="76">
        <v>0</v>
      </c>
      <c r="L407" s="76"/>
      <c r="M407" s="76">
        <v>0</v>
      </c>
      <c r="N407" s="76"/>
      <c r="O407" s="76">
        <v>0</v>
      </c>
      <c r="P407" s="76"/>
      <c r="Q407" s="76">
        <v>0</v>
      </c>
      <c r="R407" s="76"/>
      <c r="S407" s="76">
        <v>380</v>
      </c>
      <c r="T407" s="76"/>
      <c r="U407" s="76">
        <v>0</v>
      </c>
      <c r="V407" s="76"/>
      <c r="W407" s="76">
        <v>0</v>
      </c>
      <c r="X407" s="76"/>
      <c r="Y407" s="76">
        <v>0</v>
      </c>
      <c r="Z407" s="76"/>
      <c r="AA407" s="76">
        <v>0</v>
      </c>
      <c r="AB407" s="76"/>
      <c r="AC407" s="76">
        <v>0</v>
      </c>
      <c r="AD407" s="76"/>
      <c r="AE407" s="76">
        <v>675</v>
      </c>
      <c r="AF407" s="76"/>
      <c r="AG407" s="76">
        <v>0</v>
      </c>
      <c r="AH407" s="81"/>
      <c r="AI407" s="76">
        <f t="shared" ref="AI407:AI471" si="6">SUM(E407:AG407)</f>
        <v>18736.649999999998</v>
      </c>
      <c r="AJ407" s="10"/>
      <c r="AK407" s="41"/>
      <c r="AL407" s="41"/>
      <c r="AM407" s="41"/>
    </row>
    <row r="408" spans="1:39" ht="12" customHeight="1" x14ac:dyDescent="0.2">
      <c r="A408" s="1" t="s">
        <v>206</v>
      </c>
      <c r="C408" s="1" t="s">
        <v>797</v>
      </c>
      <c r="E408" s="76">
        <v>5979.33</v>
      </c>
      <c r="F408" s="76"/>
      <c r="G408" s="76">
        <v>39369.760000000002</v>
      </c>
      <c r="H408" s="76"/>
      <c r="I408" s="76">
        <v>30004.58</v>
      </c>
      <c r="J408" s="76"/>
      <c r="K408" s="76">
        <v>5998.71</v>
      </c>
      <c r="L408" s="76"/>
      <c r="M408" s="76">
        <v>683.99</v>
      </c>
      <c r="N408" s="76"/>
      <c r="O408" s="76">
        <v>680.04</v>
      </c>
      <c r="P408" s="76"/>
      <c r="Q408" s="76">
        <v>299.89999999999998</v>
      </c>
      <c r="R408" s="76"/>
      <c r="S408" s="76">
        <v>3305.56</v>
      </c>
      <c r="T408" s="76"/>
      <c r="U408" s="76">
        <v>0</v>
      </c>
      <c r="V408" s="76"/>
      <c r="W408" s="76">
        <v>0</v>
      </c>
      <c r="X408" s="76"/>
      <c r="Y408" s="76">
        <v>0</v>
      </c>
      <c r="Z408" s="76"/>
      <c r="AA408" s="76">
        <v>0</v>
      </c>
      <c r="AB408" s="76"/>
      <c r="AC408" s="76">
        <v>0</v>
      </c>
      <c r="AD408" s="76"/>
      <c r="AE408" s="76">
        <v>0</v>
      </c>
      <c r="AF408" s="76"/>
      <c r="AG408" s="76">
        <v>0</v>
      </c>
      <c r="AH408"/>
      <c r="AI408" s="76">
        <f t="shared" si="6"/>
        <v>86321.87000000001</v>
      </c>
      <c r="AJ408" s="10"/>
    </row>
    <row r="409" spans="1:39" ht="12" customHeight="1" x14ac:dyDescent="0.2">
      <c r="A409" s="1" t="s">
        <v>414</v>
      </c>
      <c r="C409" s="1" t="s">
        <v>412</v>
      </c>
      <c r="E409" s="76">
        <v>165362.56</v>
      </c>
      <c r="F409" s="76"/>
      <c r="G409" s="76">
        <v>1094416.44</v>
      </c>
      <c r="H409" s="76"/>
      <c r="I409" s="76">
        <v>234833.14</v>
      </c>
      <c r="J409" s="76"/>
      <c r="K409" s="76">
        <v>0</v>
      </c>
      <c r="L409" s="76"/>
      <c r="M409" s="76">
        <v>8238.93</v>
      </c>
      <c r="N409" s="76"/>
      <c r="O409" s="76">
        <v>64820.81</v>
      </c>
      <c r="P409" s="76"/>
      <c r="Q409" s="76">
        <v>4764.79</v>
      </c>
      <c r="R409" s="76"/>
      <c r="S409" s="76">
        <v>13816.71</v>
      </c>
      <c r="T409" s="76"/>
      <c r="U409" s="76">
        <v>0</v>
      </c>
      <c r="V409" s="76"/>
      <c r="W409" s="76">
        <v>0</v>
      </c>
      <c r="X409" s="76"/>
      <c r="Y409" s="76">
        <v>0</v>
      </c>
      <c r="Z409" s="76"/>
      <c r="AA409" s="76">
        <v>0</v>
      </c>
      <c r="AB409" s="76"/>
      <c r="AC409" s="76">
        <v>0</v>
      </c>
      <c r="AD409" s="76"/>
      <c r="AE409" s="76">
        <v>0</v>
      </c>
      <c r="AF409" s="76"/>
      <c r="AG409" s="76">
        <v>0</v>
      </c>
      <c r="AH409"/>
      <c r="AI409" s="76">
        <f t="shared" si="6"/>
        <v>1586253.3800000001</v>
      </c>
      <c r="AJ409" s="10"/>
      <c r="AK409" s="21"/>
      <c r="AL409" s="21"/>
      <c r="AM409" s="21"/>
    </row>
    <row r="410" spans="1:39" ht="12" customHeight="1" x14ac:dyDescent="0.2">
      <c r="A410" s="1" t="s">
        <v>63</v>
      </c>
      <c r="C410" s="1" t="s">
        <v>756</v>
      </c>
      <c r="E410" s="76">
        <v>97177.38</v>
      </c>
      <c r="F410" s="76"/>
      <c r="G410" s="76">
        <v>0</v>
      </c>
      <c r="H410" s="76"/>
      <c r="I410" s="76">
        <v>27005.88</v>
      </c>
      <c r="J410" s="76"/>
      <c r="K410" s="76">
        <v>0</v>
      </c>
      <c r="L410" s="76"/>
      <c r="M410" s="76">
        <v>39342.980000000003</v>
      </c>
      <c r="N410" s="76"/>
      <c r="O410" s="76">
        <v>33824.6</v>
      </c>
      <c r="P410" s="76"/>
      <c r="Q410" s="76">
        <v>2473.2199999999998</v>
      </c>
      <c r="R410" s="76"/>
      <c r="S410" s="76">
        <v>14906.24</v>
      </c>
      <c r="T410" s="76"/>
      <c r="U410" s="76">
        <v>0</v>
      </c>
      <c r="V410" s="76"/>
      <c r="W410" s="76">
        <v>254688</v>
      </c>
      <c r="X410" s="76"/>
      <c r="Y410" s="76">
        <v>0</v>
      </c>
      <c r="Z410" s="76"/>
      <c r="AA410" s="76">
        <v>1269.8499999999999</v>
      </c>
      <c r="AB410" s="76"/>
      <c r="AC410" s="76">
        <v>0</v>
      </c>
      <c r="AD410" s="76"/>
      <c r="AE410" s="76">
        <v>70624.62</v>
      </c>
      <c r="AF410" s="76"/>
      <c r="AG410" s="76">
        <v>28704</v>
      </c>
      <c r="AH410"/>
      <c r="AI410" s="76">
        <f t="shared" si="6"/>
        <v>570016.77</v>
      </c>
      <c r="AJ410" s="10"/>
      <c r="AK410" s="7"/>
      <c r="AL410" s="7"/>
      <c r="AM410" s="7"/>
    </row>
    <row r="411" spans="1:39" ht="12" hidden="1" customHeight="1" x14ac:dyDescent="0.2">
      <c r="A411" s="1" t="s">
        <v>26</v>
      </c>
      <c r="C411" s="1" t="s">
        <v>518</v>
      </c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/>
      <c r="AI411" s="76">
        <f t="shared" si="6"/>
        <v>0</v>
      </c>
      <c r="AJ411" s="10"/>
      <c r="AK411" s="7"/>
      <c r="AL411" s="7"/>
      <c r="AM411" s="7"/>
    </row>
    <row r="412" spans="1:39" ht="12" customHeight="1" x14ac:dyDescent="0.2">
      <c r="A412" s="1" t="s">
        <v>681</v>
      </c>
      <c r="C412" s="1" t="s">
        <v>601</v>
      </c>
      <c r="E412" s="76">
        <v>7180</v>
      </c>
      <c r="F412" s="76"/>
      <c r="G412" s="76">
        <v>0</v>
      </c>
      <c r="H412" s="76"/>
      <c r="I412" s="76">
        <v>12436</v>
      </c>
      <c r="J412" s="76"/>
      <c r="K412" s="76">
        <v>0</v>
      </c>
      <c r="L412" s="76"/>
      <c r="M412" s="76">
        <v>0</v>
      </c>
      <c r="N412" s="76"/>
      <c r="O412" s="76">
        <v>0</v>
      </c>
      <c r="P412" s="76"/>
      <c r="Q412" s="76">
        <v>32</v>
      </c>
      <c r="R412" s="76"/>
      <c r="S412" s="76">
        <v>20456</v>
      </c>
      <c r="T412" s="76"/>
      <c r="U412" s="76">
        <v>0</v>
      </c>
      <c r="V412" s="76"/>
      <c r="W412" s="76">
        <v>0</v>
      </c>
      <c r="X412" s="76"/>
      <c r="Y412" s="76">
        <v>0</v>
      </c>
      <c r="Z412" s="76"/>
      <c r="AA412" s="76">
        <v>0</v>
      </c>
      <c r="AB412" s="76"/>
      <c r="AC412" s="76">
        <v>0</v>
      </c>
      <c r="AD412" s="76"/>
      <c r="AE412" s="76">
        <v>0</v>
      </c>
      <c r="AF412" s="76"/>
      <c r="AG412" s="76">
        <v>0</v>
      </c>
      <c r="AH412" s="76"/>
      <c r="AI412" s="76">
        <f t="shared" si="6"/>
        <v>40104</v>
      </c>
      <c r="AJ412" s="10"/>
      <c r="AK412" s="21"/>
      <c r="AL412" s="21"/>
      <c r="AM412" s="21"/>
    </row>
    <row r="413" spans="1:39" ht="12" customHeight="1" x14ac:dyDescent="0.2">
      <c r="A413" s="1" t="s">
        <v>476</v>
      </c>
      <c r="C413" s="1" t="s">
        <v>474</v>
      </c>
      <c r="E413" s="76">
        <v>961</v>
      </c>
      <c r="F413" s="76"/>
      <c r="G413" s="76">
        <v>0</v>
      </c>
      <c r="H413" s="76"/>
      <c r="I413" s="76">
        <v>3706</v>
      </c>
      <c r="J413" s="76"/>
      <c r="K413" s="76">
        <v>0</v>
      </c>
      <c r="L413" s="76"/>
      <c r="M413" s="76">
        <v>0</v>
      </c>
      <c r="N413" s="76"/>
      <c r="O413" s="76">
        <v>0</v>
      </c>
      <c r="P413" s="76"/>
      <c r="Q413" s="76">
        <v>8</v>
      </c>
      <c r="R413" s="76"/>
      <c r="S413" s="76">
        <v>0</v>
      </c>
      <c r="T413" s="76"/>
      <c r="U413" s="76">
        <v>0</v>
      </c>
      <c r="V413" s="76"/>
      <c r="W413" s="76">
        <v>0</v>
      </c>
      <c r="X413" s="76"/>
      <c r="Y413" s="76">
        <v>0</v>
      </c>
      <c r="Z413" s="76"/>
      <c r="AA413" s="76">
        <v>0</v>
      </c>
      <c r="AB413" s="76"/>
      <c r="AC413" s="76">
        <v>0</v>
      </c>
      <c r="AD413" s="76"/>
      <c r="AE413" s="76">
        <v>0</v>
      </c>
      <c r="AF413" s="76"/>
      <c r="AG413" s="76">
        <v>0</v>
      </c>
      <c r="AH413" s="76"/>
      <c r="AI413" s="76">
        <f t="shared" si="6"/>
        <v>4675</v>
      </c>
      <c r="AJ413" s="10"/>
    </row>
    <row r="414" spans="1:39" ht="12" customHeight="1" x14ac:dyDescent="0.2">
      <c r="A414" s="1" t="s">
        <v>234</v>
      </c>
      <c r="C414" s="1" t="s">
        <v>806</v>
      </c>
      <c r="E414" s="76">
        <v>33598.47</v>
      </c>
      <c r="F414" s="76"/>
      <c r="G414" s="76">
        <v>49426.14</v>
      </c>
      <c r="H414" s="76"/>
      <c r="I414" s="76">
        <v>31041.15</v>
      </c>
      <c r="J414" s="76"/>
      <c r="K414" s="76">
        <v>0</v>
      </c>
      <c r="L414" s="76"/>
      <c r="M414" s="76">
        <v>0</v>
      </c>
      <c r="N414" s="76"/>
      <c r="O414" s="76">
        <v>4613.47</v>
      </c>
      <c r="P414" s="76"/>
      <c r="Q414" s="76">
        <v>119.34</v>
      </c>
      <c r="R414" s="76"/>
      <c r="S414" s="76">
        <v>1452.85</v>
      </c>
      <c r="T414" s="76"/>
      <c r="U414" s="76">
        <v>0</v>
      </c>
      <c r="V414" s="76"/>
      <c r="W414" s="76">
        <v>0</v>
      </c>
      <c r="X414" s="76"/>
      <c r="Y414" s="76">
        <v>0</v>
      </c>
      <c r="Z414" s="76"/>
      <c r="AA414" s="76">
        <v>0</v>
      </c>
      <c r="AB414" s="76"/>
      <c r="AC414" s="76">
        <v>0</v>
      </c>
      <c r="AD414" s="76"/>
      <c r="AE414" s="76">
        <v>0</v>
      </c>
      <c r="AF414" s="76"/>
      <c r="AG414" s="76">
        <f>9278.09+21082.8</f>
        <v>30360.89</v>
      </c>
      <c r="AH414"/>
      <c r="AI414" s="76">
        <f t="shared" si="6"/>
        <v>150612.31</v>
      </c>
      <c r="AJ414" s="10"/>
    </row>
    <row r="415" spans="1:39" ht="12" customHeight="1" x14ac:dyDescent="0.2">
      <c r="A415" s="1" t="s">
        <v>545</v>
      </c>
      <c r="C415" s="1" t="s">
        <v>540</v>
      </c>
      <c r="E415" s="76">
        <v>134853</v>
      </c>
      <c r="F415" s="76"/>
      <c r="G415" s="76">
        <v>0</v>
      </c>
      <c r="H415" s="76"/>
      <c r="I415" s="76">
        <v>113563</v>
      </c>
      <c r="J415" s="76"/>
      <c r="K415" s="76">
        <v>0</v>
      </c>
      <c r="L415" s="76"/>
      <c r="M415" s="76">
        <v>8977</v>
      </c>
      <c r="N415" s="76"/>
      <c r="O415" s="76">
        <v>74616</v>
      </c>
      <c r="P415" s="76"/>
      <c r="Q415" s="76">
        <v>10262</v>
      </c>
      <c r="R415" s="76"/>
      <c r="S415" s="76">
        <v>645923</v>
      </c>
      <c r="T415" s="76"/>
      <c r="U415" s="76">
        <v>0</v>
      </c>
      <c r="V415" s="76"/>
      <c r="W415" s="76">
        <v>0</v>
      </c>
      <c r="X415" s="76"/>
      <c r="Y415" s="76">
        <v>0</v>
      </c>
      <c r="Z415" s="76"/>
      <c r="AA415" s="76">
        <v>0</v>
      </c>
      <c r="AB415" s="76"/>
      <c r="AC415" s="76">
        <v>0</v>
      </c>
      <c r="AD415" s="76"/>
      <c r="AE415" s="76">
        <v>1247327</v>
      </c>
      <c r="AF415" s="76"/>
      <c r="AG415" s="76">
        <v>0</v>
      </c>
      <c r="AH415" s="82"/>
      <c r="AI415" s="76">
        <f t="shared" si="6"/>
        <v>2235521</v>
      </c>
      <c r="AJ415" s="36"/>
      <c r="AK415" s="21"/>
      <c r="AL415" s="21"/>
      <c r="AM415" s="21"/>
    </row>
    <row r="416" spans="1:39" ht="12" customHeight="1" x14ac:dyDescent="0.2">
      <c r="A416" s="15" t="s">
        <v>74</v>
      </c>
      <c r="B416" s="15"/>
      <c r="C416" s="15" t="s">
        <v>353</v>
      </c>
      <c r="E416" s="76">
        <v>456568.45</v>
      </c>
      <c r="F416" s="76"/>
      <c r="G416" s="76">
        <v>266749.65999999997</v>
      </c>
      <c r="H416" s="76"/>
      <c r="I416" s="76">
        <v>147417.39000000001</v>
      </c>
      <c r="J416" s="76"/>
      <c r="K416" s="76">
        <v>0</v>
      </c>
      <c r="L416" s="76"/>
      <c r="M416" s="76">
        <v>112031.19</v>
      </c>
      <c r="N416" s="76"/>
      <c r="O416" s="76">
        <v>60626.78</v>
      </c>
      <c r="P416" s="76"/>
      <c r="Q416" s="76">
        <v>520.08000000000004</v>
      </c>
      <c r="R416" s="76"/>
      <c r="S416" s="76">
        <v>36002.67</v>
      </c>
      <c r="T416" s="76"/>
      <c r="U416" s="76">
        <v>0</v>
      </c>
      <c r="V416" s="76"/>
      <c r="W416" s="76">
        <v>0</v>
      </c>
      <c r="X416" s="76"/>
      <c r="Y416" s="76">
        <v>0</v>
      </c>
      <c r="Z416" s="76"/>
      <c r="AA416" s="76">
        <v>0</v>
      </c>
      <c r="AB416" s="76"/>
      <c r="AC416" s="76">
        <v>0</v>
      </c>
      <c r="AD416" s="76"/>
      <c r="AE416" s="76">
        <v>0</v>
      </c>
      <c r="AF416" s="76"/>
      <c r="AG416" s="76">
        <v>0</v>
      </c>
      <c r="AH416"/>
      <c r="AI416" s="76">
        <f t="shared" si="6"/>
        <v>1079916.22</v>
      </c>
      <c r="AJ416" s="10"/>
    </row>
    <row r="417" spans="1:39" ht="12" customHeight="1" x14ac:dyDescent="0.2">
      <c r="A417" s="1" t="s">
        <v>423</v>
      </c>
      <c r="C417" s="1" t="s">
        <v>420</v>
      </c>
      <c r="E417" s="76">
        <v>99902</v>
      </c>
      <c r="F417" s="76"/>
      <c r="G417" s="76">
        <v>554439</v>
      </c>
      <c r="H417" s="76"/>
      <c r="I417" s="76">
        <v>205314</v>
      </c>
      <c r="J417" s="76"/>
      <c r="K417" s="76">
        <v>0</v>
      </c>
      <c r="L417" s="76"/>
      <c r="M417" s="76">
        <v>0</v>
      </c>
      <c r="N417" s="76"/>
      <c r="O417" s="76">
        <v>74346</v>
      </c>
      <c r="P417" s="76"/>
      <c r="Q417" s="76">
        <v>433</v>
      </c>
      <c r="R417" s="76"/>
      <c r="S417" s="76">
        <v>2910</v>
      </c>
      <c r="T417" s="76"/>
      <c r="U417" s="76">
        <v>0</v>
      </c>
      <c r="V417" s="76"/>
      <c r="W417" s="76">
        <v>0</v>
      </c>
      <c r="X417" s="76"/>
      <c r="Y417" s="76">
        <v>0</v>
      </c>
      <c r="Z417" s="76"/>
      <c r="AA417" s="76">
        <v>0</v>
      </c>
      <c r="AB417" s="76"/>
      <c r="AC417" s="76">
        <v>0</v>
      </c>
      <c r="AD417" s="76"/>
      <c r="AE417" s="76">
        <v>647</v>
      </c>
      <c r="AF417" s="76"/>
      <c r="AG417" s="76">
        <v>0</v>
      </c>
      <c r="AH417" s="76"/>
      <c r="AI417" s="76">
        <f t="shared" si="6"/>
        <v>937991</v>
      </c>
      <c r="AJ417" s="10"/>
      <c r="AK417" s="21"/>
      <c r="AL417" s="21"/>
      <c r="AM417" s="21"/>
    </row>
    <row r="418" spans="1:39" s="21" customFormat="1" ht="12" customHeight="1" x14ac:dyDescent="0.2">
      <c r="A418" s="1" t="s">
        <v>276</v>
      </c>
      <c r="B418" s="1"/>
      <c r="C418" s="1" t="s">
        <v>275</v>
      </c>
      <c r="D418" s="1"/>
      <c r="E418" s="76">
        <v>152259</v>
      </c>
      <c r="F418" s="76"/>
      <c r="G418" s="76">
        <v>3255794</v>
      </c>
      <c r="H418" s="76"/>
      <c r="I418" s="76">
        <v>176388</v>
      </c>
      <c r="J418" s="76"/>
      <c r="K418" s="76">
        <v>0</v>
      </c>
      <c r="L418" s="76"/>
      <c r="M418" s="76">
        <v>516612</v>
      </c>
      <c r="N418" s="76"/>
      <c r="O418" s="76">
        <v>10892</v>
      </c>
      <c r="P418" s="76"/>
      <c r="Q418" s="76">
        <v>17820</v>
      </c>
      <c r="R418" s="76"/>
      <c r="S418" s="76">
        <v>14972</v>
      </c>
      <c r="T418" s="76"/>
      <c r="U418" s="76">
        <v>0</v>
      </c>
      <c r="V418" s="76"/>
      <c r="W418" s="76">
        <v>0</v>
      </c>
      <c r="X418" s="76"/>
      <c r="Y418" s="76">
        <v>0</v>
      </c>
      <c r="Z418" s="76"/>
      <c r="AA418" s="76">
        <v>0</v>
      </c>
      <c r="AB418" s="76"/>
      <c r="AC418" s="76">
        <v>0</v>
      </c>
      <c r="AD418" s="76"/>
      <c r="AE418" s="76">
        <v>0</v>
      </c>
      <c r="AF418" s="76"/>
      <c r="AG418" s="76">
        <v>0</v>
      </c>
      <c r="AH418" s="76"/>
      <c r="AI418" s="76">
        <f t="shared" si="6"/>
        <v>4144737</v>
      </c>
      <c r="AJ418" s="10"/>
      <c r="AK418" s="22"/>
      <c r="AL418" s="22"/>
      <c r="AM418" s="22"/>
    </row>
    <row r="419" spans="1:39" ht="12" customHeight="1" x14ac:dyDescent="0.2">
      <c r="A419" s="1" t="s">
        <v>550</v>
      </c>
      <c r="C419" s="1" t="s">
        <v>549</v>
      </c>
      <c r="E419" s="76">
        <v>143689</v>
      </c>
      <c r="F419" s="76"/>
      <c r="G419" s="76">
        <v>0</v>
      </c>
      <c r="H419" s="76"/>
      <c r="I419" s="76">
        <v>154335</v>
      </c>
      <c r="J419" s="76"/>
      <c r="K419" s="76">
        <v>0</v>
      </c>
      <c r="L419" s="76"/>
      <c r="M419" s="76">
        <v>0</v>
      </c>
      <c r="N419" s="76"/>
      <c r="O419" s="76">
        <v>70626</v>
      </c>
      <c r="P419" s="76"/>
      <c r="Q419" s="76">
        <v>892</v>
      </c>
      <c r="R419" s="76"/>
      <c r="S419" s="76">
        <v>138915</v>
      </c>
      <c r="T419" s="76"/>
      <c r="U419" s="76">
        <v>0</v>
      </c>
      <c r="V419" s="76"/>
      <c r="W419" s="76">
        <v>153500</v>
      </c>
      <c r="X419" s="76"/>
      <c r="Y419" s="76">
        <v>0</v>
      </c>
      <c r="Z419" s="76"/>
      <c r="AA419" s="76">
        <v>1612000</v>
      </c>
      <c r="AB419" s="76"/>
      <c r="AC419" s="76">
        <v>0</v>
      </c>
      <c r="AD419" s="76"/>
      <c r="AE419" s="76">
        <v>0</v>
      </c>
      <c r="AF419" s="76"/>
      <c r="AG419" s="76">
        <v>0</v>
      </c>
      <c r="AH419" s="76"/>
      <c r="AI419" s="76">
        <f t="shared" si="6"/>
        <v>2273957</v>
      </c>
      <c r="AJ419" s="10"/>
      <c r="AK419" s="21"/>
      <c r="AL419" s="21"/>
      <c r="AM419" s="21"/>
    </row>
    <row r="420" spans="1:39" ht="12" customHeight="1" x14ac:dyDescent="0.2">
      <c r="A420" s="1" t="s">
        <v>415</v>
      </c>
      <c r="C420" s="1" t="s">
        <v>416</v>
      </c>
      <c r="E420" s="76">
        <v>247524</v>
      </c>
      <c r="F420" s="76"/>
      <c r="G420" s="76">
        <v>422479</v>
      </c>
      <c r="H420" s="76"/>
      <c r="I420" s="76">
        <f>598+79142</f>
        <v>79740</v>
      </c>
      <c r="J420" s="76"/>
      <c r="K420" s="76">
        <v>0</v>
      </c>
      <c r="L420" s="76"/>
      <c r="M420" s="76">
        <v>14655</v>
      </c>
      <c r="N420" s="76"/>
      <c r="O420" s="76">
        <v>38832</v>
      </c>
      <c r="P420" s="76"/>
      <c r="Q420" s="76">
        <v>5526</v>
      </c>
      <c r="R420" s="76"/>
      <c r="S420" s="76">
        <v>24708</v>
      </c>
      <c r="T420" s="76"/>
      <c r="U420" s="76">
        <v>0</v>
      </c>
      <c r="V420" s="76"/>
      <c r="W420" s="76">
        <v>0</v>
      </c>
      <c r="X420" s="76"/>
      <c r="Y420" s="76">
        <v>0</v>
      </c>
      <c r="Z420" s="76"/>
      <c r="AA420" s="76">
        <v>0</v>
      </c>
      <c r="AB420" s="76"/>
      <c r="AC420" s="76">
        <v>308334</v>
      </c>
      <c r="AD420" s="76"/>
      <c r="AE420" s="76">
        <v>1948</v>
      </c>
      <c r="AF420" s="76"/>
      <c r="AG420" s="76">
        <v>0</v>
      </c>
      <c r="AH420" s="76"/>
      <c r="AI420" s="76">
        <f t="shared" si="6"/>
        <v>1143746</v>
      </c>
      <c r="AJ420" s="10"/>
      <c r="AK420" s="21"/>
      <c r="AL420" s="21"/>
      <c r="AM420" s="21"/>
    </row>
    <row r="421" spans="1:39" ht="12" customHeight="1" x14ac:dyDescent="0.2">
      <c r="A421" s="1" t="s">
        <v>160</v>
      </c>
      <c r="C421" s="1" t="s">
        <v>783</v>
      </c>
      <c r="E421" s="76">
        <v>4730.3999999999996</v>
      </c>
      <c r="F421" s="76"/>
      <c r="G421" s="76">
        <v>0</v>
      </c>
      <c r="H421" s="76"/>
      <c r="I421" s="76">
        <v>10278.36</v>
      </c>
      <c r="J421" s="76"/>
      <c r="K421" s="76">
        <v>0</v>
      </c>
      <c r="L421" s="76"/>
      <c r="M421" s="76">
        <v>0</v>
      </c>
      <c r="N421" s="76"/>
      <c r="O421" s="76">
        <v>1863.2</v>
      </c>
      <c r="P421" s="76"/>
      <c r="Q421" s="76">
        <v>28.78</v>
      </c>
      <c r="R421" s="76"/>
      <c r="S421" s="76">
        <v>0</v>
      </c>
      <c r="T421" s="76"/>
      <c r="U421" s="76">
        <v>0</v>
      </c>
      <c r="V421" s="76"/>
      <c r="W421" s="76">
        <v>0</v>
      </c>
      <c r="X421" s="76"/>
      <c r="Y421" s="76">
        <v>0</v>
      </c>
      <c r="Z421" s="76"/>
      <c r="AA421" s="76">
        <v>0</v>
      </c>
      <c r="AB421" s="76"/>
      <c r="AC421" s="76">
        <v>0</v>
      </c>
      <c r="AD421" s="76"/>
      <c r="AE421" s="76">
        <v>0</v>
      </c>
      <c r="AF421" s="76"/>
      <c r="AG421" s="76">
        <v>0</v>
      </c>
      <c r="AH421"/>
      <c r="AI421" s="76">
        <f t="shared" si="6"/>
        <v>16900.739999999998</v>
      </c>
      <c r="AJ421" s="10"/>
    </row>
    <row r="422" spans="1:39" ht="12" customHeight="1" x14ac:dyDescent="0.2">
      <c r="A422" s="1" t="s">
        <v>597</v>
      </c>
      <c r="C422" s="1" t="s">
        <v>596</v>
      </c>
      <c r="E422" s="76">
        <v>452099</v>
      </c>
      <c r="F422" s="76"/>
      <c r="G422" s="76">
        <v>428495</v>
      </c>
      <c r="H422" s="76"/>
      <c r="I422" s="76">
        <v>286782</v>
      </c>
      <c r="J422" s="76"/>
      <c r="K422" s="76">
        <v>0</v>
      </c>
      <c r="L422" s="76"/>
      <c r="M422" s="76">
        <v>393134</v>
      </c>
      <c r="N422" s="76"/>
      <c r="O422" s="76">
        <v>40439</v>
      </c>
      <c r="P422" s="76"/>
      <c r="Q422" s="76">
        <v>55098</v>
      </c>
      <c r="R422" s="76"/>
      <c r="S422" s="76">
        <v>28299</v>
      </c>
      <c r="T422" s="76"/>
      <c r="U422" s="76">
        <v>0</v>
      </c>
      <c r="V422" s="76"/>
      <c r="W422" s="76">
        <v>0</v>
      </c>
      <c r="X422" s="76"/>
      <c r="Y422" s="76">
        <v>12124</v>
      </c>
      <c r="Z422" s="76"/>
      <c r="AA422" s="76">
        <v>150000</v>
      </c>
      <c r="AB422" s="76"/>
      <c r="AC422" s="76">
        <v>0</v>
      </c>
      <c r="AD422" s="76"/>
      <c r="AE422" s="76">
        <v>0</v>
      </c>
      <c r="AF422" s="76"/>
      <c r="AG422" s="76">
        <v>0</v>
      </c>
      <c r="AH422" s="76"/>
      <c r="AI422" s="76">
        <f t="shared" si="6"/>
        <v>1846470</v>
      </c>
      <c r="AJ422" s="10"/>
    </row>
    <row r="423" spans="1:39" s="21" customFormat="1" ht="12" customHeight="1" x14ac:dyDescent="0.2">
      <c r="A423" s="1" t="s">
        <v>323</v>
      </c>
      <c r="B423" s="1"/>
      <c r="C423" s="1" t="s">
        <v>316</v>
      </c>
      <c r="D423" s="1"/>
      <c r="E423" s="76">
        <v>808422</v>
      </c>
      <c r="F423" s="76"/>
      <c r="G423" s="76">
        <v>2892842</v>
      </c>
      <c r="H423" s="76"/>
      <c r="I423" s="76">
        <v>333452</v>
      </c>
      <c r="J423" s="76"/>
      <c r="K423" s="76">
        <v>0</v>
      </c>
      <c r="L423" s="76"/>
      <c r="M423" s="76">
        <v>11875</v>
      </c>
      <c r="N423" s="76"/>
      <c r="O423" s="76">
        <v>179295</v>
      </c>
      <c r="P423" s="76"/>
      <c r="Q423" s="76">
        <v>21386</v>
      </c>
      <c r="R423" s="76"/>
      <c r="S423" s="76">
        <v>183123</v>
      </c>
      <c r="T423" s="76"/>
      <c r="U423" s="76">
        <v>0</v>
      </c>
      <c r="V423" s="76"/>
      <c r="W423" s="76">
        <v>0</v>
      </c>
      <c r="X423" s="76"/>
      <c r="Y423" s="76">
        <v>0</v>
      </c>
      <c r="Z423" s="76"/>
      <c r="AA423" s="76">
        <v>0</v>
      </c>
      <c r="AB423" s="76"/>
      <c r="AC423" s="76">
        <v>0</v>
      </c>
      <c r="AD423" s="76"/>
      <c r="AE423" s="76">
        <v>0</v>
      </c>
      <c r="AF423" s="76"/>
      <c r="AG423" s="76">
        <v>0</v>
      </c>
      <c r="AH423" s="76"/>
      <c r="AI423" s="76">
        <f t="shared" si="6"/>
        <v>4430395</v>
      </c>
      <c r="AJ423" s="10"/>
      <c r="AK423" s="22"/>
      <c r="AL423" s="22"/>
      <c r="AM423" s="22"/>
    </row>
    <row r="424" spans="1:39" ht="12" customHeight="1" x14ac:dyDescent="0.2">
      <c r="A424" s="1" t="s">
        <v>930</v>
      </c>
      <c r="C424" s="1" t="s">
        <v>463</v>
      </c>
      <c r="E424" s="76">
        <v>8947.5</v>
      </c>
      <c r="F424" s="76"/>
      <c r="G424" s="76">
        <v>0</v>
      </c>
      <c r="H424" s="76"/>
      <c r="I424" s="76">
        <v>12877.51</v>
      </c>
      <c r="J424" s="76"/>
      <c r="K424" s="76">
        <v>0</v>
      </c>
      <c r="L424" s="76"/>
      <c r="M424" s="76">
        <v>0</v>
      </c>
      <c r="N424" s="76"/>
      <c r="O424" s="76">
        <v>7</v>
      </c>
      <c r="P424" s="76"/>
      <c r="Q424" s="76">
        <v>0.12</v>
      </c>
      <c r="R424" s="76"/>
      <c r="S424" s="76">
        <v>0</v>
      </c>
      <c r="T424" s="76"/>
      <c r="U424" s="76">
        <v>0</v>
      </c>
      <c r="V424" s="76"/>
      <c r="W424" s="76">
        <v>0</v>
      </c>
      <c r="X424" s="76"/>
      <c r="Y424" s="76">
        <v>0</v>
      </c>
      <c r="Z424" s="76"/>
      <c r="AA424" s="76">
        <v>0</v>
      </c>
      <c r="AB424" s="76"/>
      <c r="AC424" s="76">
        <v>0</v>
      </c>
      <c r="AD424" s="76"/>
      <c r="AE424" s="76">
        <v>0</v>
      </c>
      <c r="AF424" s="76"/>
      <c r="AG424" s="76">
        <v>113.64</v>
      </c>
      <c r="AH424"/>
      <c r="AI424" s="76">
        <f t="shared" si="6"/>
        <v>21945.77</v>
      </c>
      <c r="AJ424" s="10"/>
      <c r="AK424" s="22"/>
      <c r="AL424" s="22"/>
      <c r="AM424" s="22"/>
    </row>
    <row r="425" spans="1:39" ht="12" customHeight="1" x14ac:dyDescent="0.2">
      <c r="A425" s="1" t="s">
        <v>18</v>
      </c>
      <c r="C425" s="1" t="s">
        <v>741</v>
      </c>
      <c r="E425" s="76">
        <v>5533.06</v>
      </c>
      <c r="F425" s="76"/>
      <c r="G425" s="76">
        <v>0</v>
      </c>
      <c r="H425" s="76"/>
      <c r="I425" s="76">
        <v>27017.05</v>
      </c>
      <c r="J425" s="76"/>
      <c r="K425" s="76">
        <v>0</v>
      </c>
      <c r="L425" s="76"/>
      <c r="M425" s="76">
        <v>0</v>
      </c>
      <c r="N425" s="76"/>
      <c r="O425" s="76">
        <v>0</v>
      </c>
      <c r="P425" s="76"/>
      <c r="Q425" s="76">
        <v>61.43</v>
      </c>
      <c r="R425" s="76"/>
      <c r="S425" s="76">
        <v>394549.65</v>
      </c>
      <c r="T425" s="76"/>
      <c r="U425" s="76">
        <v>0</v>
      </c>
      <c r="V425" s="76"/>
      <c r="W425" s="76">
        <v>0</v>
      </c>
      <c r="X425" s="76"/>
      <c r="Y425" s="76">
        <v>0</v>
      </c>
      <c r="Z425" s="76"/>
      <c r="AA425" s="76">
        <v>0</v>
      </c>
      <c r="AB425" s="76"/>
      <c r="AC425" s="76">
        <v>0</v>
      </c>
      <c r="AD425" s="76"/>
      <c r="AE425" s="76">
        <v>0</v>
      </c>
      <c r="AF425" s="76"/>
      <c r="AG425" s="76">
        <v>0</v>
      </c>
      <c r="AH425"/>
      <c r="AI425" s="76">
        <f t="shared" si="6"/>
        <v>427161.19</v>
      </c>
      <c r="AJ425" s="10"/>
      <c r="AK425" s="7"/>
      <c r="AL425" s="7"/>
      <c r="AM425" s="7"/>
    </row>
    <row r="426" spans="1:39" ht="12" customHeight="1" x14ac:dyDescent="0.2">
      <c r="A426" s="1" t="s">
        <v>243</v>
      </c>
      <c r="C426" s="1" t="s">
        <v>809</v>
      </c>
      <c r="E426" s="76">
        <v>34948.959999999999</v>
      </c>
      <c r="F426" s="76"/>
      <c r="G426" s="76">
        <v>248371.38</v>
      </c>
      <c r="H426" s="76"/>
      <c r="I426" s="76">
        <v>13430.9</v>
      </c>
      <c r="J426" s="76"/>
      <c r="K426" s="76">
        <v>0</v>
      </c>
      <c r="L426" s="76"/>
      <c r="M426" s="76">
        <v>140574.85999999999</v>
      </c>
      <c r="N426" s="76"/>
      <c r="O426" s="76">
        <v>111872.51</v>
      </c>
      <c r="P426" s="76"/>
      <c r="Q426" s="76">
        <v>7509.98</v>
      </c>
      <c r="R426" s="76"/>
      <c r="S426" s="76">
        <v>16081.83</v>
      </c>
      <c r="T426" s="76"/>
      <c r="U426" s="76">
        <v>0</v>
      </c>
      <c r="V426" s="76"/>
      <c r="W426" s="76">
        <v>0</v>
      </c>
      <c r="X426" s="76"/>
      <c r="Y426" s="76">
        <v>100825</v>
      </c>
      <c r="Z426" s="76"/>
      <c r="AA426" s="76">
        <v>0</v>
      </c>
      <c r="AB426" s="76"/>
      <c r="AC426" s="76">
        <v>0</v>
      </c>
      <c r="AD426" s="76"/>
      <c r="AE426" s="76">
        <v>19685</v>
      </c>
      <c r="AF426" s="76"/>
      <c r="AG426" s="76">
        <v>0</v>
      </c>
      <c r="AH426"/>
      <c r="AI426" s="76">
        <f t="shared" si="6"/>
        <v>693300.41999999993</v>
      </c>
      <c r="AJ426" s="10"/>
    </row>
    <row r="427" spans="1:39" ht="12" customHeight="1" x14ac:dyDescent="0.2">
      <c r="A427" s="1" t="s">
        <v>298</v>
      </c>
      <c r="C427" s="1" t="s">
        <v>295</v>
      </c>
      <c r="E427" s="76">
        <v>164395.64000000001</v>
      </c>
      <c r="F427" s="76"/>
      <c r="G427" s="76">
        <v>34271.81</v>
      </c>
      <c r="H427" s="76"/>
      <c r="I427" s="76">
        <v>231822.75</v>
      </c>
      <c r="J427" s="76"/>
      <c r="K427" s="76">
        <v>0</v>
      </c>
      <c r="L427" s="76"/>
      <c r="M427" s="76">
        <v>5837.82</v>
      </c>
      <c r="N427" s="76"/>
      <c r="O427" s="76">
        <v>805.82</v>
      </c>
      <c r="P427" s="76"/>
      <c r="Q427" s="76">
        <v>6571.8</v>
      </c>
      <c r="R427" s="76"/>
      <c r="S427" s="76">
        <v>58986.38</v>
      </c>
      <c r="T427" s="76"/>
      <c r="U427" s="76">
        <v>0</v>
      </c>
      <c r="V427" s="76"/>
      <c r="W427" s="76">
        <v>0</v>
      </c>
      <c r="X427" s="76"/>
      <c r="Y427" s="76">
        <v>13000</v>
      </c>
      <c r="Z427" s="76"/>
      <c r="AA427" s="76">
        <v>0</v>
      </c>
      <c r="AB427" s="76"/>
      <c r="AC427" s="76">
        <v>0</v>
      </c>
      <c r="AD427" s="76"/>
      <c r="AE427" s="76">
        <v>0</v>
      </c>
      <c r="AF427" s="76"/>
      <c r="AG427" s="76">
        <v>645250.71</v>
      </c>
      <c r="AH427"/>
      <c r="AI427" s="76">
        <f t="shared" si="6"/>
        <v>1160942.73</v>
      </c>
      <c r="AJ427" s="10"/>
      <c r="AK427" s="21"/>
      <c r="AL427" s="21"/>
      <c r="AM427" s="21"/>
    </row>
    <row r="428" spans="1:39" s="21" customFormat="1" ht="12" customHeight="1" x14ac:dyDescent="0.2">
      <c r="A428" s="1" t="s">
        <v>249</v>
      </c>
      <c r="B428" s="1"/>
      <c r="C428" s="1" t="s">
        <v>811</v>
      </c>
      <c r="D428" s="1"/>
      <c r="E428" s="76">
        <v>16734.48</v>
      </c>
      <c r="F428" s="76"/>
      <c r="G428" s="76">
        <v>75053.320000000007</v>
      </c>
      <c r="H428" s="76"/>
      <c r="I428" s="76">
        <v>11359.55</v>
      </c>
      <c r="J428" s="76"/>
      <c r="K428" s="76">
        <v>0</v>
      </c>
      <c r="L428" s="76"/>
      <c r="M428" s="76">
        <v>200</v>
      </c>
      <c r="N428" s="76"/>
      <c r="O428" s="76">
        <v>86779.199999999997</v>
      </c>
      <c r="P428" s="76"/>
      <c r="Q428" s="76">
        <v>23.47</v>
      </c>
      <c r="R428" s="76"/>
      <c r="S428" s="76">
        <v>906.52</v>
      </c>
      <c r="T428" s="76"/>
      <c r="U428" s="76">
        <v>0</v>
      </c>
      <c r="V428" s="76"/>
      <c r="W428" s="76">
        <v>0</v>
      </c>
      <c r="X428" s="76"/>
      <c r="Y428" s="76">
        <v>0</v>
      </c>
      <c r="Z428" s="76"/>
      <c r="AA428" s="76">
        <v>0</v>
      </c>
      <c r="AB428" s="76"/>
      <c r="AC428" s="76">
        <v>0</v>
      </c>
      <c r="AD428" s="76"/>
      <c r="AE428" s="76">
        <v>0</v>
      </c>
      <c r="AF428" s="76"/>
      <c r="AG428" s="76">
        <v>0</v>
      </c>
      <c r="AH428" s="81"/>
      <c r="AI428" s="76">
        <f t="shared" si="6"/>
        <v>191056.53999999998</v>
      </c>
      <c r="AJ428" s="10"/>
      <c r="AK428" s="1"/>
      <c r="AL428" s="1"/>
      <c r="AM428" s="1"/>
    </row>
    <row r="429" spans="1:39" ht="12" customHeight="1" x14ac:dyDescent="0.2">
      <c r="A429" s="1" t="s">
        <v>141</v>
      </c>
      <c r="C429" s="1" t="s">
        <v>778</v>
      </c>
      <c r="E429" s="76">
        <v>22022.13</v>
      </c>
      <c r="F429" s="76"/>
      <c r="G429" s="76">
        <v>572789.69999999995</v>
      </c>
      <c r="H429" s="76"/>
      <c r="I429" s="76">
        <v>112442.86</v>
      </c>
      <c r="J429" s="76"/>
      <c r="K429" s="76">
        <v>0</v>
      </c>
      <c r="L429" s="76"/>
      <c r="M429" s="76">
        <v>8</v>
      </c>
      <c r="N429" s="76"/>
      <c r="O429" s="76">
        <v>42297.73</v>
      </c>
      <c r="P429" s="76"/>
      <c r="Q429" s="76">
        <v>400.92</v>
      </c>
      <c r="R429" s="76"/>
      <c r="S429" s="76">
        <v>7308.14</v>
      </c>
      <c r="T429" s="76"/>
      <c r="U429" s="76">
        <v>0</v>
      </c>
      <c r="V429" s="76"/>
      <c r="W429" s="76">
        <v>0</v>
      </c>
      <c r="X429" s="76"/>
      <c r="Y429" s="76">
        <v>730</v>
      </c>
      <c r="Z429" s="76"/>
      <c r="AA429" s="76">
        <v>8497.42</v>
      </c>
      <c r="AB429" s="76"/>
      <c r="AC429" s="76">
        <v>0</v>
      </c>
      <c r="AD429" s="76"/>
      <c r="AE429" s="76">
        <v>0</v>
      </c>
      <c r="AF429" s="76"/>
      <c r="AG429" s="76">
        <v>10</v>
      </c>
      <c r="AH429" s="81"/>
      <c r="AI429" s="76">
        <f t="shared" si="6"/>
        <v>766506.9</v>
      </c>
      <c r="AJ429" s="10"/>
      <c r="AK429" s="21"/>
      <c r="AL429" s="21"/>
      <c r="AM429" s="21"/>
    </row>
    <row r="430" spans="1:39" ht="12" customHeight="1" x14ac:dyDescent="0.2">
      <c r="A430" s="1" t="s">
        <v>99</v>
      </c>
      <c r="C430" s="1" t="s">
        <v>764</v>
      </c>
      <c r="E430" s="76">
        <v>10821.82</v>
      </c>
      <c r="F430" s="76"/>
      <c r="G430" s="76">
        <v>0</v>
      </c>
      <c r="H430" s="76"/>
      <c r="I430" s="76">
        <v>12949.75</v>
      </c>
      <c r="J430" s="76"/>
      <c r="K430" s="76">
        <v>0</v>
      </c>
      <c r="L430" s="76"/>
      <c r="M430" s="76">
        <v>0</v>
      </c>
      <c r="N430" s="76"/>
      <c r="O430" s="76">
        <v>3712.87</v>
      </c>
      <c r="P430" s="76"/>
      <c r="Q430" s="76">
        <v>1200.31</v>
      </c>
      <c r="R430" s="76"/>
      <c r="S430" s="76">
        <v>16285</v>
      </c>
      <c r="T430" s="76"/>
      <c r="U430" s="76">
        <v>0</v>
      </c>
      <c r="V430" s="76"/>
      <c r="W430" s="76">
        <v>0</v>
      </c>
      <c r="X430" s="76"/>
      <c r="Y430" s="76">
        <v>0</v>
      </c>
      <c r="Z430" s="76"/>
      <c r="AA430" s="76">
        <v>0</v>
      </c>
      <c r="AB430" s="76"/>
      <c r="AC430" s="76">
        <v>0</v>
      </c>
      <c r="AD430" s="76"/>
      <c r="AE430" s="76">
        <v>0</v>
      </c>
      <c r="AF430" s="76"/>
      <c r="AG430" s="76">
        <v>0</v>
      </c>
      <c r="AH430" s="76"/>
      <c r="AI430" s="76">
        <f t="shared" si="6"/>
        <v>44969.75</v>
      </c>
      <c r="AJ430" s="10"/>
      <c r="AK430" s="21"/>
      <c r="AL430" s="21"/>
      <c r="AM430" s="21"/>
    </row>
    <row r="431" spans="1:39" ht="12" customHeight="1" x14ac:dyDescent="0.2">
      <c r="A431" s="1" t="s">
        <v>410</v>
      </c>
      <c r="C431" s="1" t="s">
        <v>409</v>
      </c>
      <c r="E431" s="76">
        <v>13659.41</v>
      </c>
      <c r="F431" s="76"/>
      <c r="G431" s="76">
        <v>0</v>
      </c>
      <c r="H431" s="76"/>
      <c r="I431" s="76">
        <v>24299.4</v>
      </c>
      <c r="J431" s="76"/>
      <c r="K431" s="76">
        <v>0</v>
      </c>
      <c r="L431" s="76"/>
      <c r="M431" s="76">
        <v>0</v>
      </c>
      <c r="N431" s="76"/>
      <c r="O431" s="76">
        <v>6313.79</v>
      </c>
      <c r="P431" s="76"/>
      <c r="Q431" s="76">
        <v>0</v>
      </c>
      <c r="R431" s="76"/>
      <c r="S431" s="76">
        <v>6214.83</v>
      </c>
      <c r="T431" s="76"/>
      <c r="U431" s="76">
        <v>0</v>
      </c>
      <c r="V431" s="76"/>
      <c r="W431" s="76">
        <v>0</v>
      </c>
      <c r="X431" s="76"/>
      <c r="Y431" s="76">
        <v>0</v>
      </c>
      <c r="Z431" s="76"/>
      <c r="AA431" s="76">
        <v>0</v>
      </c>
      <c r="AB431" s="76"/>
      <c r="AC431" s="76">
        <v>5000</v>
      </c>
      <c r="AD431" s="76"/>
      <c r="AE431" s="76">
        <v>0</v>
      </c>
      <c r="AF431" s="76"/>
      <c r="AG431" s="76">
        <v>0</v>
      </c>
      <c r="AH431" s="81"/>
      <c r="AI431" s="76">
        <f t="shared" si="6"/>
        <v>55487.43</v>
      </c>
      <c r="AJ431" s="10"/>
    </row>
    <row r="432" spans="1:39" ht="12" customHeight="1" x14ac:dyDescent="0.2">
      <c r="A432" s="1" t="s">
        <v>390</v>
      </c>
      <c r="C432" s="1" t="s">
        <v>388</v>
      </c>
      <c r="E432" s="76">
        <v>45269.14</v>
      </c>
      <c r="F432" s="76"/>
      <c r="G432" s="76">
        <v>0</v>
      </c>
      <c r="H432" s="76"/>
      <c r="I432" s="76">
        <v>31761.27</v>
      </c>
      <c r="J432" s="76"/>
      <c r="K432" s="76">
        <v>0</v>
      </c>
      <c r="L432" s="76"/>
      <c r="M432" s="76">
        <v>0</v>
      </c>
      <c r="N432" s="76"/>
      <c r="O432" s="76">
        <v>55</v>
      </c>
      <c r="P432" s="76"/>
      <c r="Q432" s="76">
        <v>69.03</v>
      </c>
      <c r="R432" s="76"/>
      <c r="S432" s="76">
        <v>0</v>
      </c>
      <c r="T432" s="76"/>
      <c r="U432" s="76">
        <v>0</v>
      </c>
      <c r="V432" s="76"/>
      <c r="W432" s="76">
        <v>0</v>
      </c>
      <c r="X432" s="76"/>
      <c r="Y432" s="76">
        <v>0</v>
      </c>
      <c r="Z432" s="76"/>
      <c r="AA432" s="76">
        <v>0</v>
      </c>
      <c r="AB432" s="76"/>
      <c r="AC432" s="76">
        <v>0</v>
      </c>
      <c r="AD432" s="76"/>
      <c r="AE432" s="76">
        <v>0</v>
      </c>
      <c r="AF432" s="76"/>
      <c r="AG432" s="76">
        <v>0</v>
      </c>
      <c r="AH432"/>
      <c r="AI432" s="76">
        <f t="shared" si="6"/>
        <v>77154.44</v>
      </c>
      <c r="AJ432" s="10"/>
      <c r="AK432" s="21"/>
      <c r="AL432" s="21"/>
      <c r="AM432" s="21"/>
    </row>
    <row r="433" spans="1:39" ht="12" customHeight="1" x14ac:dyDescent="0.2">
      <c r="A433" s="1" t="s">
        <v>391</v>
      </c>
      <c r="C433" s="1" t="s">
        <v>388</v>
      </c>
      <c r="E433" s="76">
        <v>5055</v>
      </c>
      <c r="F433" s="76"/>
      <c r="G433" s="76">
        <v>0</v>
      </c>
      <c r="H433" s="76"/>
      <c r="I433" s="76">
        <v>28668</v>
      </c>
      <c r="J433" s="76"/>
      <c r="K433" s="76">
        <v>0</v>
      </c>
      <c r="L433" s="76"/>
      <c r="M433" s="76">
        <v>1950</v>
      </c>
      <c r="N433" s="76"/>
      <c r="O433" s="76">
        <v>0</v>
      </c>
      <c r="P433" s="76"/>
      <c r="Q433" s="76">
        <v>323</v>
      </c>
      <c r="R433" s="76"/>
      <c r="S433" s="76">
        <v>2724</v>
      </c>
      <c r="T433" s="76"/>
      <c r="U433" s="76">
        <v>0</v>
      </c>
      <c r="V433" s="76"/>
      <c r="W433" s="76">
        <v>0</v>
      </c>
      <c r="X433" s="76"/>
      <c r="Y433" s="76">
        <v>0</v>
      </c>
      <c r="Z433" s="76"/>
      <c r="AA433" s="76">
        <v>0</v>
      </c>
      <c r="AB433" s="76"/>
      <c r="AC433" s="76">
        <v>0</v>
      </c>
      <c r="AD433" s="76"/>
      <c r="AE433" s="76">
        <v>0</v>
      </c>
      <c r="AF433" s="76"/>
      <c r="AG433" s="76">
        <v>0</v>
      </c>
      <c r="AH433" s="76"/>
      <c r="AI433" s="76">
        <f t="shared" si="6"/>
        <v>38720</v>
      </c>
      <c r="AJ433" s="10"/>
    </row>
    <row r="434" spans="1:39" s="21" customFormat="1" ht="12" customHeight="1" x14ac:dyDescent="0.2">
      <c r="A434" s="1" t="s">
        <v>962</v>
      </c>
      <c r="B434" s="1"/>
      <c r="C434" s="1" t="s">
        <v>243</v>
      </c>
      <c r="D434" s="1"/>
      <c r="E434" s="76">
        <v>71904</v>
      </c>
      <c r="F434" s="76"/>
      <c r="G434" s="76">
        <v>859889</v>
      </c>
      <c r="H434" s="76"/>
      <c r="I434" s="76">
        <v>100857</v>
      </c>
      <c r="J434" s="76"/>
      <c r="K434" s="76">
        <v>0</v>
      </c>
      <c r="L434" s="76"/>
      <c r="M434" s="76">
        <v>0</v>
      </c>
      <c r="N434" s="76"/>
      <c r="O434" s="76">
        <v>53524</v>
      </c>
      <c r="P434" s="76"/>
      <c r="Q434" s="76">
        <v>8433</v>
      </c>
      <c r="R434" s="76"/>
      <c r="S434" s="76">
        <v>261180</v>
      </c>
      <c r="T434" s="76"/>
      <c r="U434" s="76">
        <v>0</v>
      </c>
      <c r="V434" s="76"/>
      <c r="W434" s="76">
        <v>0</v>
      </c>
      <c r="X434" s="76"/>
      <c r="Y434" s="76">
        <v>0</v>
      </c>
      <c r="Z434" s="76"/>
      <c r="AA434" s="76">
        <v>0</v>
      </c>
      <c r="AB434" s="76"/>
      <c r="AC434" s="76">
        <v>0</v>
      </c>
      <c r="AD434" s="76"/>
      <c r="AE434" s="76">
        <v>0</v>
      </c>
      <c r="AF434" s="76"/>
      <c r="AG434" s="76">
        <v>0</v>
      </c>
      <c r="AH434" s="76"/>
      <c r="AI434" s="76">
        <f t="shared" si="6"/>
        <v>1355787</v>
      </c>
      <c r="AJ434" s="10"/>
      <c r="AK434" s="1"/>
      <c r="AL434" s="1"/>
      <c r="AM434" s="1"/>
    </row>
    <row r="435" spans="1:39" ht="12" customHeight="1" x14ac:dyDescent="0.2">
      <c r="A435" s="1" t="s">
        <v>24</v>
      </c>
      <c r="C435" s="1" t="s">
        <v>742</v>
      </c>
      <c r="E435" s="76">
        <v>63424.31</v>
      </c>
      <c r="F435" s="76"/>
      <c r="G435" s="76">
        <v>909761.28</v>
      </c>
      <c r="H435" s="76"/>
      <c r="I435" s="76">
        <v>63579.57</v>
      </c>
      <c r="J435" s="76"/>
      <c r="K435" s="76">
        <v>0</v>
      </c>
      <c r="L435" s="76"/>
      <c r="M435" s="76">
        <v>35</v>
      </c>
      <c r="N435" s="76"/>
      <c r="O435" s="76">
        <v>145775.37</v>
      </c>
      <c r="P435" s="76"/>
      <c r="Q435" s="76">
        <v>6803.92</v>
      </c>
      <c r="R435" s="76"/>
      <c r="S435" s="76">
        <v>483.69</v>
      </c>
      <c r="T435" s="76"/>
      <c r="U435" s="76">
        <v>0</v>
      </c>
      <c r="V435" s="76"/>
      <c r="W435" s="76">
        <v>0</v>
      </c>
      <c r="X435" s="76"/>
      <c r="Y435" s="76">
        <v>0</v>
      </c>
      <c r="Z435" s="76"/>
      <c r="AA435" s="76">
        <v>0</v>
      </c>
      <c r="AB435" s="76"/>
      <c r="AC435" s="76">
        <v>20000</v>
      </c>
      <c r="AD435" s="76"/>
      <c r="AE435" s="76">
        <v>0</v>
      </c>
      <c r="AF435" s="76"/>
      <c r="AG435" s="76">
        <v>375.31</v>
      </c>
      <c r="AH435"/>
      <c r="AI435" s="76">
        <f t="shared" si="6"/>
        <v>1210238.45</v>
      </c>
      <c r="AJ435" s="10"/>
      <c r="AK435" s="7"/>
      <c r="AL435" s="7"/>
      <c r="AM435" s="7"/>
    </row>
    <row r="436" spans="1:39" ht="12" customHeight="1" x14ac:dyDescent="0.2">
      <c r="A436" s="1" t="s">
        <v>112</v>
      </c>
      <c r="C436" s="1" t="s">
        <v>768</v>
      </c>
      <c r="E436" s="76">
        <v>31517.39</v>
      </c>
      <c r="F436" s="76"/>
      <c r="G436" s="76">
        <v>0</v>
      </c>
      <c r="H436" s="76"/>
      <c r="I436" s="76">
        <v>12079.83</v>
      </c>
      <c r="J436" s="76"/>
      <c r="K436" s="76">
        <v>0</v>
      </c>
      <c r="L436" s="76"/>
      <c r="M436" s="76">
        <v>7324</v>
      </c>
      <c r="N436" s="76"/>
      <c r="O436" s="76">
        <v>8150.5</v>
      </c>
      <c r="P436" s="76"/>
      <c r="Q436" s="76">
        <v>58.55</v>
      </c>
      <c r="R436" s="76"/>
      <c r="S436" s="76">
        <v>1382.04</v>
      </c>
      <c r="T436" s="76"/>
      <c r="U436" s="76">
        <v>0</v>
      </c>
      <c r="V436" s="76"/>
      <c r="W436" s="76">
        <v>0</v>
      </c>
      <c r="X436" s="76"/>
      <c r="Y436" s="76">
        <v>0</v>
      </c>
      <c r="Z436" s="76"/>
      <c r="AA436" s="76">
        <v>0</v>
      </c>
      <c r="AB436" s="76"/>
      <c r="AC436" s="76">
        <v>0</v>
      </c>
      <c r="AD436" s="76"/>
      <c r="AE436" s="76">
        <v>0</v>
      </c>
      <c r="AF436" s="76"/>
      <c r="AG436" s="76">
        <v>0</v>
      </c>
      <c r="AH436"/>
      <c r="AI436" s="76">
        <f t="shared" si="6"/>
        <v>60512.310000000005</v>
      </c>
      <c r="AJ436" s="10"/>
      <c r="AK436" s="21"/>
      <c r="AL436" s="21"/>
      <c r="AM436" s="21"/>
    </row>
    <row r="437" spans="1:39" ht="12" customHeight="1" x14ac:dyDescent="0.2">
      <c r="A437" s="1" t="s">
        <v>288</v>
      </c>
      <c r="C437" s="1" t="s">
        <v>287</v>
      </c>
      <c r="E437" s="76">
        <v>2692.03</v>
      </c>
      <c r="F437" s="76"/>
      <c r="G437" s="76">
        <v>0</v>
      </c>
      <c r="H437" s="76"/>
      <c r="I437" s="76">
        <v>4027.87</v>
      </c>
      <c r="J437" s="76"/>
      <c r="K437" s="76">
        <v>0</v>
      </c>
      <c r="L437" s="76"/>
      <c r="M437" s="76">
        <v>0</v>
      </c>
      <c r="N437" s="76"/>
      <c r="O437" s="76">
        <v>25</v>
      </c>
      <c r="P437" s="76"/>
      <c r="Q437" s="76">
        <v>14.56</v>
      </c>
      <c r="R437" s="76"/>
      <c r="S437" s="76">
        <v>0</v>
      </c>
      <c r="T437" s="76"/>
      <c r="U437" s="76">
        <v>0</v>
      </c>
      <c r="V437" s="76"/>
      <c r="W437" s="76">
        <v>0</v>
      </c>
      <c r="X437" s="76"/>
      <c r="Y437" s="76">
        <v>0</v>
      </c>
      <c r="Z437" s="76"/>
      <c r="AA437" s="76">
        <v>0</v>
      </c>
      <c r="AB437" s="76"/>
      <c r="AC437" s="76">
        <v>0</v>
      </c>
      <c r="AD437" s="76"/>
      <c r="AE437" s="76">
        <v>0</v>
      </c>
      <c r="AF437" s="76"/>
      <c r="AG437" s="76">
        <v>0</v>
      </c>
      <c r="AH437"/>
      <c r="AI437" s="76">
        <f t="shared" si="6"/>
        <v>6759.46</v>
      </c>
      <c r="AJ437" s="10"/>
      <c r="AK437" s="22"/>
      <c r="AL437" s="22"/>
      <c r="AM437" s="22"/>
    </row>
    <row r="438" spans="1:39" ht="12" customHeight="1" x14ac:dyDescent="0.2">
      <c r="A438" s="1" t="s">
        <v>931</v>
      </c>
      <c r="C438" s="1" t="s">
        <v>412</v>
      </c>
      <c r="E438" s="76">
        <v>2681.34</v>
      </c>
      <c r="F438" s="76"/>
      <c r="G438" s="76">
        <v>0</v>
      </c>
      <c r="H438" s="76"/>
      <c r="I438" s="76">
        <v>23242.23</v>
      </c>
      <c r="J438" s="76"/>
      <c r="K438" s="76">
        <v>0</v>
      </c>
      <c r="L438" s="76"/>
      <c r="M438" s="76">
        <v>0</v>
      </c>
      <c r="N438" s="76"/>
      <c r="O438" s="76">
        <v>5531.45</v>
      </c>
      <c r="P438" s="76"/>
      <c r="Q438" s="76">
        <v>0</v>
      </c>
      <c r="R438" s="76"/>
      <c r="S438" s="76">
        <v>0</v>
      </c>
      <c r="T438" s="76"/>
      <c r="U438" s="76">
        <v>0</v>
      </c>
      <c r="V438" s="76"/>
      <c r="W438" s="76">
        <v>0</v>
      </c>
      <c r="X438" s="76"/>
      <c r="Y438" s="76">
        <v>0</v>
      </c>
      <c r="Z438" s="76"/>
      <c r="AA438" s="76">
        <v>0</v>
      </c>
      <c r="AB438" s="76"/>
      <c r="AC438" s="76">
        <v>0</v>
      </c>
      <c r="AD438" s="76"/>
      <c r="AE438" s="76">
        <v>0</v>
      </c>
      <c r="AF438" s="76"/>
      <c r="AG438" s="76">
        <v>9088.5</v>
      </c>
      <c r="AH438"/>
      <c r="AI438" s="76">
        <f t="shared" si="6"/>
        <v>40543.520000000004</v>
      </c>
      <c r="AJ438" s="10"/>
      <c r="AK438" s="22"/>
      <c r="AL438" s="22"/>
      <c r="AM438" s="22"/>
    </row>
    <row r="439" spans="1:39" s="21" customFormat="1" ht="12" customHeight="1" x14ac:dyDescent="0.2">
      <c r="A439" s="1" t="s">
        <v>546</v>
      </c>
      <c r="B439" s="1"/>
      <c r="C439" s="1" t="s">
        <v>540</v>
      </c>
      <c r="D439" s="1"/>
      <c r="E439" s="76">
        <v>90892</v>
      </c>
      <c r="F439" s="76"/>
      <c r="G439" s="76">
        <v>0</v>
      </c>
      <c r="H439" s="76"/>
      <c r="I439" s="76">
        <v>42235</v>
      </c>
      <c r="J439" s="76"/>
      <c r="K439" s="76">
        <v>0</v>
      </c>
      <c r="L439" s="76"/>
      <c r="M439" s="76">
        <v>52374</v>
      </c>
      <c r="N439" s="76"/>
      <c r="O439" s="76">
        <v>4216</v>
      </c>
      <c r="P439" s="76"/>
      <c r="Q439" s="76">
        <v>1657</v>
      </c>
      <c r="R439" s="76"/>
      <c r="S439" s="76">
        <v>25657</v>
      </c>
      <c r="T439" s="76"/>
      <c r="U439" s="76">
        <v>0</v>
      </c>
      <c r="V439" s="76"/>
      <c r="W439" s="76">
        <v>0</v>
      </c>
      <c r="X439" s="76"/>
      <c r="Y439" s="76">
        <v>0</v>
      </c>
      <c r="Z439" s="76"/>
      <c r="AA439" s="76">
        <v>436000</v>
      </c>
      <c r="AB439" s="76"/>
      <c r="AC439" s="76">
        <v>0</v>
      </c>
      <c r="AD439" s="76"/>
      <c r="AE439" s="76">
        <v>0</v>
      </c>
      <c r="AF439" s="76"/>
      <c r="AG439" s="76">
        <v>0</v>
      </c>
      <c r="AH439" s="76"/>
      <c r="AI439" s="76">
        <f t="shared" si="6"/>
        <v>653031</v>
      </c>
      <c r="AJ439" s="10"/>
      <c r="AK439" s="1"/>
      <c r="AL439" s="1"/>
      <c r="AM439" s="1"/>
    </row>
    <row r="440" spans="1:39" s="21" customFormat="1" ht="12" customHeight="1" x14ac:dyDescent="0.2">
      <c r="A440" s="1" t="s">
        <v>309</v>
      </c>
      <c r="B440" s="1"/>
      <c r="C440" s="1" t="s">
        <v>308</v>
      </c>
      <c r="D440" s="1"/>
      <c r="E440" s="76">
        <v>9044</v>
      </c>
      <c r="F440" s="76"/>
      <c r="G440" s="76">
        <v>0</v>
      </c>
      <c r="H440" s="76"/>
      <c r="I440" s="76">
        <v>0</v>
      </c>
      <c r="J440" s="76"/>
      <c r="K440" s="76">
        <v>6774</v>
      </c>
      <c r="L440" s="76"/>
      <c r="M440" s="76">
        <v>0</v>
      </c>
      <c r="N440" s="76"/>
      <c r="O440" s="76">
        <v>0</v>
      </c>
      <c r="P440" s="76"/>
      <c r="Q440" s="76">
        <v>1</v>
      </c>
      <c r="R440" s="76"/>
      <c r="S440" s="76">
        <v>0</v>
      </c>
      <c r="T440" s="76"/>
      <c r="U440" s="76">
        <v>0</v>
      </c>
      <c r="V440" s="76"/>
      <c r="W440" s="76">
        <v>0</v>
      </c>
      <c r="X440" s="76"/>
      <c r="Y440" s="76">
        <v>0</v>
      </c>
      <c r="Z440" s="76"/>
      <c r="AA440" s="76">
        <v>0</v>
      </c>
      <c r="AB440" s="76"/>
      <c r="AC440" s="76">
        <v>0</v>
      </c>
      <c r="AD440" s="76"/>
      <c r="AE440" s="76">
        <v>0</v>
      </c>
      <c r="AF440" s="76"/>
      <c r="AG440" s="76">
        <v>0</v>
      </c>
      <c r="AH440" s="76"/>
      <c r="AI440" s="76">
        <f t="shared" si="6"/>
        <v>15819</v>
      </c>
      <c r="AJ440" s="10"/>
      <c r="AK440" s="22"/>
      <c r="AL440" s="22"/>
      <c r="AM440" s="22"/>
    </row>
    <row r="441" spans="1:39" ht="12" customHeight="1" x14ac:dyDescent="0.2">
      <c r="A441" s="1" t="s">
        <v>610</v>
      </c>
      <c r="C441" s="1" t="s">
        <v>609</v>
      </c>
      <c r="E441" s="76">
        <v>26429</v>
      </c>
      <c r="F441" s="76"/>
      <c r="G441" s="76">
        <v>0</v>
      </c>
      <c r="H441" s="76"/>
      <c r="I441" s="76">
        <v>7496</v>
      </c>
      <c r="J441" s="76"/>
      <c r="K441" s="76">
        <v>0</v>
      </c>
      <c r="L441" s="76"/>
      <c r="M441" s="76">
        <v>0</v>
      </c>
      <c r="N441" s="76"/>
      <c r="O441" s="76">
        <v>597</v>
      </c>
      <c r="P441" s="76"/>
      <c r="Q441" s="76">
        <v>0</v>
      </c>
      <c r="R441" s="76"/>
      <c r="S441" s="76">
        <v>62</v>
      </c>
      <c r="T441" s="76"/>
      <c r="U441" s="76">
        <v>0</v>
      </c>
      <c r="V441" s="76"/>
      <c r="W441" s="76">
        <v>0</v>
      </c>
      <c r="X441" s="76"/>
      <c r="Y441" s="76">
        <v>0</v>
      </c>
      <c r="Z441" s="76"/>
      <c r="AA441" s="76">
        <v>0</v>
      </c>
      <c r="AB441" s="76"/>
      <c r="AC441" s="76">
        <v>0</v>
      </c>
      <c r="AD441" s="76"/>
      <c r="AE441" s="76">
        <v>53</v>
      </c>
      <c r="AF441" s="76"/>
      <c r="AG441" s="76">
        <v>0</v>
      </c>
      <c r="AH441" s="76"/>
      <c r="AI441" s="76">
        <f t="shared" si="6"/>
        <v>34637</v>
      </c>
      <c r="AJ441" s="10"/>
    </row>
    <row r="442" spans="1:39" ht="12" customHeight="1" x14ac:dyDescent="0.2">
      <c r="A442" s="1" t="s">
        <v>37</v>
      </c>
      <c r="C442" s="1" t="s">
        <v>747</v>
      </c>
      <c r="E442" s="76">
        <v>1809.91</v>
      </c>
      <c r="F442" s="76"/>
      <c r="G442" s="76">
        <v>0</v>
      </c>
      <c r="H442" s="76"/>
      <c r="I442" s="76">
        <v>16176.48</v>
      </c>
      <c r="J442" s="76"/>
      <c r="K442" s="76">
        <v>0</v>
      </c>
      <c r="L442" s="76"/>
      <c r="M442" s="76">
        <v>5580</v>
      </c>
      <c r="N442" s="76"/>
      <c r="O442" s="76">
        <v>0</v>
      </c>
      <c r="P442" s="76"/>
      <c r="Q442" s="76">
        <v>148.75</v>
      </c>
      <c r="R442" s="76"/>
      <c r="S442" s="76">
        <v>0</v>
      </c>
      <c r="T442" s="76"/>
      <c r="U442" s="76">
        <v>0</v>
      </c>
      <c r="V442" s="76"/>
      <c r="W442" s="76">
        <v>0</v>
      </c>
      <c r="X442" s="76"/>
      <c r="Y442" s="76">
        <v>0</v>
      </c>
      <c r="Z442" s="76"/>
      <c r="AA442" s="76">
        <v>0</v>
      </c>
      <c r="AB442" s="76"/>
      <c r="AC442" s="76">
        <v>0</v>
      </c>
      <c r="AD442" s="76"/>
      <c r="AE442" s="76">
        <v>0</v>
      </c>
      <c r="AF442" s="76"/>
      <c r="AG442" s="76">
        <v>0</v>
      </c>
      <c r="AH442"/>
      <c r="AI442" s="76">
        <f t="shared" si="6"/>
        <v>23715.14</v>
      </c>
      <c r="AJ442" s="10"/>
      <c r="AK442" s="21"/>
      <c r="AL442" s="21"/>
      <c r="AM442" s="21"/>
    </row>
    <row r="443" spans="1:39" ht="12" hidden="1" customHeight="1" x14ac:dyDescent="0.2">
      <c r="A443" s="1" t="s">
        <v>355</v>
      </c>
      <c r="C443" s="1" t="s">
        <v>353</v>
      </c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/>
      <c r="AI443" s="76">
        <f t="shared" si="6"/>
        <v>0</v>
      </c>
      <c r="AJ443" s="10"/>
      <c r="AK443" s="21"/>
      <c r="AL443" s="21"/>
      <c r="AM443" s="21"/>
    </row>
    <row r="444" spans="1:39" ht="12" customHeight="1" x14ac:dyDescent="0.2">
      <c r="A444" s="1" t="s">
        <v>103</v>
      </c>
      <c r="C444" s="1" t="s">
        <v>765</v>
      </c>
      <c r="E444" s="76">
        <v>19433.95</v>
      </c>
      <c r="F444" s="76"/>
      <c r="G444" s="76">
        <v>0</v>
      </c>
      <c r="H444" s="76"/>
      <c r="I444" s="76">
        <v>21552.29</v>
      </c>
      <c r="J444" s="76"/>
      <c r="K444" s="76">
        <v>0</v>
      </c>
      <c r="L444" s="76"/>
      <c r="M444" s="76">
        <v>0</v>
      </c>
      <c r="N444" s="76"/>
      <c r="O444" s="76">
        <v>0</v>
      </c>
      <c r="P444" s="76"/>
      <c r="Q444" s="76">
        <v>60.69</v>
      </c>
      <c r="R444" s="76"/>
      <c r="S444" s="76">
        <v>504.03</v>
      </c>
      <c r="T444" s="76"/>
      <c r="U444" s="76">
        <v>0</v>
      </c>
      <c r="V444" s="76"/>
      <c r="W444" s="76">
        <v>0</v>
      </c>
      <c r="X444" s="76"/>
      <c r="Y444" s="76">
        <v>0</v>
      </c>
      <c r="Z444" s="76"/>
      <c r="AA444" s="76">
        <v>0</v>
      </c>
      <c r="AB444" s="76"/>
      <c r="AC444" s="76">
        <v>0</v>
      </c>
      <c r="AD444" s="76"/>
      <c r="AE444" s="76">
        <v>833.78</v>
      </c>
      <c r="AF444" s="76"/>
      <c r="AG444" s="76">
        <v>0</v>
      </c>
      <c r="AH444"/>
      <c r="AI444" s="76">
        <f t="shared" si="6"/>
        <v>42384.740000000005</v>
      </c>
      <c r="AJ444" s="10"/>
    </row>
    <row r="445" spans="1:39" ht="12" customHeight="1" x14ac:dyDescent="0.2">
      <c r="A445" s="1" t="s">
        <v>109</v>
      </c>
      <c r="C445" s="1" t="s">
        <v>766</v>
      </c>
      <c r="E445" s="76">
        <v>5832.03</v>
      </c>
      <c r="F445" s="76"/>
      <c r="G445" s="76">
        <v>13729.66</v>
      </c>
      <c r="H445" s="76"/>
      <c r="I445" s="76">
        <v>2970.99</v>
      </c>
      <c r="J445" s="76"/>
      <c r="K445" s="76">
        <v>0</v>
      </c>
      <c r="L445" s="76"/>
      <c r="M445" s="76">
        <v>780</v>
      </c>
      <c r="N445" s="76"/>
      <c r="O445" s="76">
        <v>0</v>
      </c>
      <c r="P445" s="76"/>
      <c r="Q445" s="76">
        <v>0</v>
      </c>
      <c r="R445" s="76"/>
      <c r="S445" s="76">
        <v>1240</v>
      </c>
      <c r="T445" s="76"/>
      <c r="U445" s="76">
        <v>0</v>
      </c>
      <c r="V445" s="76"/>
      <c r="W445" s="76">
        <v>0</v>
      </c>
      <c r="X445" s="76"/>
      <c r="Y445" s="76">
        <v>0</v>
      </c>
      <c r="Z445" s="76"/>
      <c r="AA445" s="76">
        <v>0</v>
      </c>
      <c r="AB445" s="76"/>
      <c r="AC445" s="76">
        <v>0</v>
      </c>
      <c r="AD445" s="76"/>
      <c r="AE445" s="76">
        <v>0</v>
      </c>
      <c r="AF445" s="76"/>
      <c r="AG445" s="76">
        <v>0</v>
      </c>
      <c r="AH445" s="81"/>
      <c r="AI445" s="76">
        <f t="shared" si="6"/>
        <v>24552.68</v>
      </c>
      <c r="AJ445" s="10"/>
      <c r="AK445" s="21"/>
      <c r="AL445" s="21"/>
      <c r="AM445" s="21"/>
    </row>
    <row r="446" spans="1:39" ht="12" customHeight="1" x14ac:dyDescent="0.2">
      <c r="A446" s="1" t="s">
        <v>149</v>
      </c>
      <c r="C446" s="1" t="s">
        <v>463</v>
      </c>
      <c r="E446" s="76">
        <v>4622.3</v>
      </c>
      <c r="F446" s="76"/>
      <c r="G446" s="76">
        <v>26351.91</v>
      </c>
      <c r="H446" s="76"/>
      <c r="I446" s="76">
        <v>8930.01</v>
      </c>
      <c r="J446" s="76"/>
      <c r="K446" s="76">
        <v>0</v>
      </c>
      <c r="L446" s="76"/>
      <c r="M446" s="76">
        <v>0</v>
      </c>
      <c r="N446" s="76"/>
      <c r="O446" s="76">
        <v>2607.4499999999998</v>
      </c>
      <c r="P446" s="76"/>
      <c r="Q446" s="76">
        <v>199.79</v>
      </c>
      <c r="R446" s="76"/>
      <c r="S446" s="76">
        <v>47.82</v>
      </c>
      <c r="T446" s="76"/>
      <c r="U446" s="76">
        <v>0</v>
      </c>
      <c r="V446" s="76"/>
      <c r="W446" s="76">
        <v>0</v>
      </c>
      <c r="X446" s="76"/>
      <c r="Y446" s="76">
        <v>0</v>
      </c>
      <c r="Z446" s="76"/>
      <c r="AA446" s="76">
        <v>0</v>
      </c>
      <c r="AB446" s="76"/>
      <c r="AC446" s="76">
        <v>0</v>
      </c>
      <c r="AD446" s="76"/>
      <c r="AE446" s="76">
        <v>0</v>
      </c>
      <c r="AF446" s="76"/>
      <c r="AG446" s="76">
        <v>0</v>
      </c>
      <c r="AH446"/>
      <c r="AI446" s="76">
        <f t="shared" si="6"/>
        <v>42759.28</v>
      </c>
      <c r="AJ446" s="10"/>
    </row>
    <row r="447" spans="1:39" s="21" customFormat="1" ht="12" customHeight="1" x14ac:dyDescent="0.2">
      <c r="A447" s="1" t="s">
        <v>528</v>
      </c>
      <c r="B447" s="1"/>
      <c r="C447" s="1" t="s">
        <v>529</v>
      </c>
      <c r="D447" s="1"/>
      <c r="E447" s="76">
        <v>198146.61</v>
      </c>
      <c r="F447" s="76"/>
      <c r="G447" s="76">
        <v>1193288.1499999999</v>
      </c>
      <c r="H447" s="76"/>
      <c r="I447" s="76">
        <v>147379.64000000001</v>
      </c>
      <c r="J447" s="76"/>
      <c r="K447" s="76">
        <v>0</v>
      </c>
      <c r="L447" s="76"/>
      <c r="M447" s="76">
        <v>19774.45</v>
      </c>
      <c r="N447" s="76"/>
      <c r="O447" s="76">
        <v>59410.47</v>
      </c>
      <c r="P447" s="76"/>
      <c r="Q447" s="76">
        <v>400.74</v>
      </c>
      <c r="R447" s="76"/>
      <c r="S447" s="76">
        <v>82494.52</v>
      </c>
      <c r="T447" s="76"/>
      <c r="U447" s="76">
        <v>0</v>
      </c>
      <c r="V447" s="76"/>
      <c r="W447" s="76">
        <v>0</v>
      </c>
      <c r="X447" s="76"/>
      <c r="Y447" s="76">
        <v>808</v>
      </c>
      <c r="Z447" s="76"/>
      <c r="AA447" s="76">
        <v>56259.28</v>
      </c>
      <c r="AB447" s="76"/>
      <c r="AC447" s="76">
        <v>0</v>
      </c>
      <c r="AD447" s="76"/>
      <c r="AE447" s="76">
        <v>0</v>
      </c>
      <c r="AF447" s="76"/>
      <c r="AG447" s="76">
        <v>2051</v>
      </c>
      <c r="AH447"/>
      <c r="AI447" s="76">
        <f t="shared" si="6"/>
        <v>1760012.8599999999</v>
      </c>
      <c r="AJ447" s="10"/>
      <c r="AK447" s="1"/>
      <c r="AL447" s="1"/>
      <c r="AM447" s="1"/>
    </row>
    <row r="448" spans="1:39" ht="12" customHeight="1" x14ac:dyDescent="0.2">
      <c r="A448" s="1" t="s">
        <v>277</v>
      </c>
      <c r="C448" s="1" t="s">
        <v>275</v>
      </c>
      <c r="E448" s="76">
        <v>164706</v>
      </c>
      <c r="F448" s="76"/>
      <c r="G448" s="76">
        <v>2931085</v>
      </c>
      <c r="H448" s="76"/>
      <c r="I448" s="76">
        <v>121379</v>
      </c>
      <c r="J448" s="76"/>
      <c r="K448" s="76">
        <v>41963</v>
      </c>
      <c r="L448" s="76"/>
      <c r="M448" s="76">
        <v>50075</v>
      </c>
      <c r="N448" s="76"/>
      <c r="O448" s="76">
        <v>14912</v>
      </c>
      <c r="P448" s="76"/>
      <c r="Q448" s="76">
        <v>27992</v>
      </c>
      <c r="R448" s="76"/>
      <c r="S448" s="76">
        <v>37343</v>
      </c>
      <c r="T448" s="76"/>
      <c r="U448" s="76">
        <v>0</v>
      </c>
      <c r="V448" s="76"/>
      <c r="W448" s="76">
        <v>0</v>
      </c>
      <c r="X448" s="76"/>
      <c r="Y448" s="76">
        <v>530</v>
      </c>
      <c r="Z448" s="76"/>
      <c r="AA448" s="76">
        <v>0</v>
      </c>
      <c r="AB448" s="76"/>
      <c r="AC448" s="76">
        <v>0</v>
      </c>
      <c r="AD448" s="76"/>
      <c r="AE448" s="76">
        <v>100000</v>
      </c>
      <c r="AF448" s="76"/>
      <c r="AG448" s="76">
        <v>0</v>
      </c>
      <c r="AH448" s="76"/>
      <c r="AI448" s="76">
        <f t="shared" si="6"/>
        <v>3489985</v>
      </c>
      <c r="AJ448" s="10"/>
      <c r="AK448" s="22"/>
      <c r="AL448" s="22"/>
      <c r="AM448" s="22"/>
    </row>
    <row r="449" spans="1:39" ht="12" customHeight="1" x14ac:dyDescent="0.2">
      <c r="A449" s="36" t="s">
        <v>486</v>
      </c>
      <c r="B449" s="36"/>
      <c r="C449" s="36" t="s">
        <v>484</v>
      </c>
      <c r="D449" s="36"/>
      <c r="E449" s="76">
        <v>691896</v>
      </c>
      <c r="F449" s="76"/>
      <c r="G449" s="76">
        <v>0</v>
      </c>
      <c r="H449" s="76"/>
      <c r="I449" s="76">
        <v>57050</v>
      </c>
      <c r="J449" s="76"/>
      <c r="K449" s="76">
        <v>0</v>
      </c>
      <c r="L449" s="76"/>
      <c r="M449" s="76">
        <v>158</v>
      </c>
      <c r="N449" s="76"/>
      <c r="O449" s="76">
        <v>27815</v>
      </c>
      <c r="P449" s="76"/>
      <c r="Q449" s="76">
        <v>1270</v>
      </c>
      <c r="R449" s="76"/>
      <c r="S449" s="76">
        <v>24542</v>
      </c>
      <c r="T449" s="76"/>
      <c r="U449" s="76">
        <v>0</v>
      </c>
      <c r="V449" s="76"/>
      <c r="W449" s="76">
        <v>0</v>
      </c>
      <c r="X449" s="76"/>
      <c r="Y449" s="76">
        <v>0</v>
      </c>
      <c r="Z449" s="76"/>
      <c r="AA449" s="76">
        <v>142000</v>
      </c>
      <c r="AB449" s="76"/>
      <c r="AC449" s="76">
        <v>0</v>
      </c>
      <c r="AD449" s="76"/>
      <c r="AE449" s="76">
        <v>0</v>
      </c>
      <c r="AF449" s="76"/>
      <c r="AG449" s="76">
        <v>0</v>
      </c>
      <c r="AH449" s="76"/>
      <c r="AI449" s="76">
        <f t="shared" si="6"/>
        <v>944731</v>
      </c>
      <c r="AJ449" s="36"/>
      <c r="AK449" s="36"/>
      <c r="AL449" s="36"/>
      <c r="AM449" s="36"/>
    </row>
    <row r="450" spans="1:39" ht="12" customHeight="1" x14ac:dyDescent="0.2">
      <c r="A450" s="1" t="s">
        <v>189</v>
      </c>
      <c r="C450" s="1" t="s">
        <v>793</v>
      </c>
      <c r="E450" s="76">
        <v>27652.2</v>
      </c>
      <c r="F450" s="76"/>
      <c r="G450" s="76">
        <v>0</v>
      </c>
      <c r="H450" s="76"/>
      <c r="I450" s="76">
        <v>23043.14</v>
      </c>
      <c r="J450" s="76"/>
      <c r="K450" s="76">
        <v>0</v>
      </c>
      <c r="L450" s="76"/>
      <c r="M450" s="76">
        <v>0</v>
      </c>
      <c r="N450" s="76"/>
      <c r="O450" s="76">
        <v>1703.18</v>
      </c>
      <c r="P450" s="76"/>
      <c r="Q450" s="76">
        <v>1254.0899999999999</v>
      </c>
      <c r="R450" s="76"/>
      <c r="S450" s="76">
        <v>2510</v>
      </c>
      <c r="T450" s="76"/>
      <c r="U450" s="76">
        <v>0</v>
      </c>
      <c r="V450" s="76"/>
      <c r="W450" s="76">
        <v>0</v>
      </c>
      <c r="X450" s="76"/>
      <c r="Y450" s="76">
        <v>0</v>
      </c>
      <c r="Z450" s="76"/>
      <c r="AA450" s="76">
        <v>0</v>
      </c>
      <c r="AB450" s="76"/>
      <c r="AC450" s="76">
        <v>15000</v>
      </c>
      <c r="AD450" s="76"/>
      <c r="AE450" s="76">
        <v>0</v>
      </c>
      <c r="AF450" s="76"/>
      <c r="AG450" s="76">
        <v>0</v>
      </c>
      <c r="AH450"/>
      <c r="AI450" s="76">
        <f t="shared" si="6"/>
        <v>71162.609999999986</v>
      </c>
      <c r="AJ450" s="10"/>
    </row>
    <row r="451" spans="1:39" ht="12" customHeight="1" x14ac:dyDescent="0.2">
      <c r="A451" s="1" t="s">
        <v>12</v>
      </c>
      <c r="C451" s="1" t="s">
        <v>740</v>
      </c>
      <c r="E451" s="76">
        <v>64372.639999999999</v>
      </c>
      <c r="F451" s="76"/>
      <c r="G451" s="76">
        <v>328931.28000000003</v>
      </c>
      <c r="H451" s="76"/>
      <c r="I451" s="76">
        <v>54362.11</v>
      </c>
      <c r="J451" s="76"/>
      <c r="K451" s="76">
        <v>0</v>
      </c>
      <c r="L451" s="76"/>
      <c r="M451" s="76">
        <v>86230.89</v>
      </c>
      <c r="N451" s="76"/>
      <c r="O451" s="76">
        <v>1308</v>
      </c>
      <c r="P451" s="76"/>
      <c r="Q451" s="76">
        <v>3114.12</v>
      </c>
      <c r="R451" s="76"/>
      <c r="S451" s="76">
        <v>14086.26</v>
      </c>
      <c r="T451" s="76"/>
      <c r="U451" s="76">
        <v>0</v>
      </c>
      <c r="V451" s="76"/>
      <c r="W451" s="76">
        <v>0</v>
      </c>
      <c r="X451" s="76"/>
      <c r="Y451" s="76">
        <v>0</v>
      </c>
      <c r="Z451" s="76"/>
      <c r="AA451" s="76">
        <v>1000</v>
      </c>
      <c r="AB451" s="76"/>
      <c r="AC451" s="76">
        <v>0</v>
      </c>
      <c r="AD451" s="76"/>
      <c r="AE451" s="76">
        <v>931.57</v>
      </c>
      <c r="AF451" s="76"/>
      <c r="AG451" s="76">
        <v>0</v>
      </c>
      <c r="AH451"/>
      <c r="AI451" s="76">
        <f t="shared" si="6"/>
        <v>554336.87</v>
      </c>
      <c r="AJ451" s="10"/>
      <c r="AK451" s="7"/>
      <c r="AL451" s="7"/>
      <c r="AM451" s="7"/>
    </row>
    <row r="452" spans="1:39" ht="12" customHeight="1" x14ac:dyDescent="0.2">
      <c r="A452" s="15" t="s">
        <v>481</v>
      </c>
      <c r="B452" s="15"/>
      <c r="C452" s="15" t="s">
        <v>479</v>
      </c>
      <c r="D452" s="15"/>
      <c r="E452" s="76">
        <v>61090</v>
      </c>
      <c r="F452" s="76"/>
      <c r="G452" s="76">
        <v>0</v>
      </c>
      <c r="H452" s="76"/>
      <c r="I452" s="76">
        <v>224464</v>
      </c>
      <c r="J452" s="76"/>
      <c r="K452" s="76">
        <v>515</v>
      </c>
      <c r="L452" s="76"/>
      <c r="M452" s="76">
        <v>48987</v>
      </c>
      <c r="N452" s="76"/>
      <c r="O452" s="76">
        <v>2606</v>
      </c>
      <c r="P452" s="76"/>
      <c r="Q452" s="76">
        <v>5383</v>
      </c>
      <c r="R452" s="76"/>
      <c r="S452" s="76">
        <v>16281</v>
      </c>
      <c r="T452" s="76"/>
      <c r="U452" s="76">
        <v>0</v>
      </c>
      <c r="V452" s="76"/>
      <c r="W452" s="76">
        <v>100000</v>
      </c>
      <c r="X452" s="76"/>
      <c r="Y452" s="76">
        <v>0</v>
      </c>
      <c r="Z452" s="76"/>
      <c r="AA452" s="76">
        <v>437038</v>
      </c>
      <c r="AB452" s="76"/>
      <c r="AC452" s="76">
        <v>0</v>
      </c>
      <c r="AD452" s="76"/>
      <c r="AE452" s="76">
        <v>1231</v>
      </c>
      <c r="AF452" s="76"/>
      <c r="AG452" s="76">
        <v>0</v>
      </c>
      <c r="AH452" s="77"/>
      <c r="AI452" s="76">
        <f t="shared" si="6"/>
        <v>897595</v>
      </c>
      <c r="AJ452" s="24"/>
      <c r="AK452" s="15"/>
      <c r="AL452" s="15"/>
      <c r="AM452" s="15"/>
    </row>
    <row r="453" spans="1:39" ht="12" customHeight="1" x14ac:dyDescent="0.2">
      <c r="A453" s="15" t="s">
        <v>963</v>
      </c>
      <c r="B453" s="15"/>
      <c r="C453" s="15" t="s">
        <v>500</v>
      </c>
      <c r="E453" s="76">
        <v>0</v>
      </c>
      <c r="F453" s="76"/>
      <c r="G453" s="76">
        <v>211834.06</v>
      </c>
      <c r="H453" s="76"/>
      <c r="I453" s="76">
        <v>26570.59</v>
      </c>
      <c r="J453" s="76"/>
      <c r="K453" s="76">
        <v>0</v>
      </c>
      <c r="L453" s="76"/>
      <c r="M453" s="76">
        <v>120066.38</v>
      </c>
      <c r="N453" s="76"/>
      <c r="O453" s="76">
        <v>17386.060000000001</v>
      </c>
      <c r="P453" s="76"/>
      <c r="Q453" s="76">
        <v>522.11</v>
      </c>
      <c r="R453" s="76"/>
      <c r="S453" s="76">
        <v>8836.94</v>
      </c>
      <c r="T453" s="76"/>
      <c r="U453" s="76">
        <v>0</v>
      </c>
      <c r="V453" s="76"/>
      <c r="W453" s="76">
        <v>0</v>
      </c>
      <c r="X453" s="76"/>
      <c r="Y453" s="76">
        <v>0</v>
      </c>
      <c r="Z453" s="76"/>
      <c r="AA453" s="76">
        <v>0</v>
      </c>
      <c r="AB453" s="76"/>
      <c r="AC453" s="76">
        <v>0</v>
      </c>
      <c r="AD453" s="76"/>
      <c r="AE453" s="76">
        <v>0</v>
      </c>
      <c r="AF453" s="76"/>
      <c r="AG453" s="76">
        <v>0</v>
      </c>
      <c r="AH453"/>
      <c r="AI453" s="76">
        <f t="shared" si="6"/>
        <v>385216.14</v>
      </c>
      <c r="AJ453" s="10"/>
      <c r="AK453" s="7"/>
      <c r="AL453" s="7"/>
      <c r="AM453" s="7"/>
    </row>
    <row r="454" spans="1:39" ht="12" customHeight="1" x14ac:dyDescent="0.2">
      <c r="A454" s="1" t="s">
        <v>417</v>
      </c>
      <c r="C454" s="1" t="s">
        <v>416</v>
      </c>
      <c r="E454" s="76">
        <v>65961</v>
      </c>
      <c r="F454" s="76"/>
      <c r="G454" s="76">
        <v>0</v>
      </c>
      <c r="H454" s="76"/>
      <c r="I454" s="76">
        <v>102895</v>
      </c>
      <c r="J454" s="76"/>
      <c r="K454" s="76">
        <v>0</v>
      </c>
      <c r="L454" s="76"/>
      <c r="M454" s="76">
        <v>19856</v>
      </c>
      <c r="N454" s="76"/>
      <c r="O454" s="76">
        <v>11715</v>
      </c>
      <c r="P454" s="76"/>
      <c r="Q454" s="76">
        <v>11074</v>
      </c>
      <c r="R454" s="76"/>
      <c r="S454" s="76">
        <v>40651</v>
      </c>
      <c r="T454" s="76"/>
      <c r="U454" s="76">
        <v>0</v>
      </c>
      <c r="V454" s="76"/>
      <c r="W454" s="76">
        <v>0</v>
      </c>
      <c r="X454" s="76"/>
      <c r="Y454" s="76">
        <v>0</v>
      </c>
      <c r="Z454" s="76"/>
      <c r="AA454" s="76">
        <v>496635</v>
      </c>
      <c r="AB454" s="76"/>
      <c r="AC454" s="76">
        <v>30000</v>
      </c>
      <c r="AD454" s="76"/>
      <c r="AE454" s="76">
        <v>0</v>
      </c>
      <c r="AF454" s="76"/>
      <c r="AG454" s="76">
        <v>0</v>
      </c>
      <c r="AH454" s="76"/>
      <c r="AI454" s="76">
        <f t="shared" si="6"/>
        <v>778787</v>
      </c>
      <c r="AJ454" s="10"/>
      <c r="AK454" s="21"/>
      <c r="AL454" s="21"/>
      <c r="AM454" s="21"/>
    </row>
    <row r="455" spans="1:39" ht="12" customHeight="1" x14ac:dyDescent="0.2">
      <c r="A455" s="1" t="s">
        <v>53</v>
      </c>
      <c r="C455" s="1" t="s">
        <v>752</v>
      </c>
      <c r="E455" s="76">
        <v>148037.28</v>
      </c>
      <c r="F455" s="76"/>
      <c r="G455" s="76">
        <v>139530.67000000001</v>
      </c>
      <c r="H455" s="76"/>
      <c r="I455" s="76">
        <v>14745.38</v>
      </c>
      <c r="J455" s="76"/>
      <c r="K455" s="76">
        <v>0</v>
      </c>
      <c r="L455" s="76"/>
      <c r="M455" s="76">
        <v>71025.52</v>
      </c>
      <c r="N455" s="76"/>
      <c r="O455" s="76">
        <v>5551.1</v>
      </c>
      <c r="P455" s="76"/>
      <c r="Q455" s="76">
        <v>2537.77</v>
      </c>
      <c r="R455" s="76"/>
      <c r="S455" s="76">
        <v>13576.17</v>
      </c>
      <c r="T455" s="76"/>
      <c r="U455" s="76">
        <v>0</v>
      </c>
      <c r="V455" s="76"/>
      <c r="W455" s="76">
        <v>0</v>
      </c>
      <c r="X455" s="76"/>
      <c r="Y455" s="76">
        <v>0</v>
      </c>
      <c r="Z455" s="76"/>
      <c r="AA455" s="76">
        <v>0</v>
      </c>
      <c r="AB455" s="76"/>
      <c r="AC455" s="76">
        <v>0</v>
      </c>
      <c r="AD455" s="76"/>
      <c r="AE455" s="76">
        <v>158014.13</v>
      </c>
      <c r="AF455" s="76"/>
      <c r="AG455" s="76">
        <v>0</v>
      </c>
      <c r="AH455"/>
      <c r="AI455" s="76">
        <f t="shared" si="6"/>
        <v>553018.02</v>
      </c>
      <c r="AJ455" s="10"/>
      <c r="AK455" s="7"/>
      <c r="AL455" s="7"/>
      <c r="AM455" s="7"/>
    </row>
    <row r="456" spans="1:39" s="21" customFormat="1" ht="12" customHeight="1" x14ac:dyDescent="0.2">
      <c r="A456" s="1" t="s">
        <v>932</v>
      </c>
      <c r="B456" s="1"/>
      <c r="C456" s="1" t="s">
        <v>518</v>
      </c>
      <c r="D456" s="1"/>
      <c r="E456" s="76">
        <v>40093.769999999997</v>
      </c>
      <c r="F456" s="76"/>
      <c r="G456" s="76">
        <v>113881.08</v>
      </c>
      <c r="H456" s="76"/>
      <c r="I456" s="76">
        <v>89128.66</v>
      </c>
      <c r="J456" s="76"/>
      <c r="K456" s="76">
        <v>0</v>
      </c>
      <c r="L456" s="76"/>
      <c r="M456" s="76">
        <v>6879</v>
      </c>
      <c r="N456" s="76"/>
      <c r="O456" s="76">
        <v>371295.54</v>
      </c>
      <c r="P456" s="76"/>
      <c r="Q456" s="76">
        <v>494.53</v>
      </c>
      <c r="R456" s="76"/>
      <c r="S456" s="76">
        <v>32551.98</v>
      </c>
      <c r="T456" s="76"/>
      <c r="U456" s="76">
        <v>0</v>
      </c>
      <c r="V456" s="76"/>
      <c r="W456" s="76">
        <v>0</v>
      </c>
      <c r="X456" s="76"/>
      <c r="Y456" s="76">
        <v>0</v>
      </c>
      <c r="Z456" s="76"/>
      <c r="AA456" s="76">
        <v>0</v>
      </c>
      <c r="AB456" s="76"/>
      <c r="AC456" s="76">
        <v>0</v>
      </c>
      <c r="AD456" s="76"/>
      <c r="AE456" s="76">
        <v>0</v>
      </c>
      <c r="AF456" s="76"/>
      <c r="AG456" s="76">
        <v>0</v>
      </c>
      <c r="AH456"/>
      <c r="AI456" s="76">
        <f t="shared" si="6"/>
        <v>654324.56000000006</v>
      </c>
      <c r="AJ456" s="10"/>
      <c r="AK456" s="7"/>
      <c r="AL456" s="7"/>
      <c r="AM456" s="7"/>
    </row>
    <row r="457" spans="1:39" s="15" customFormat="1" ht="12" customHeight="1" x14ac:dyDescent="0.2">
      <c r="A457" s="1"/>
      <c r="B457" s="1"/>
      <c r="C457" s="1"/>
      <c r="D457" s="1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10"/>
      <c r="AK457" s="21"/>
      <c r="AL457" s="21"/>
      <c r="AM457" s="21"/>
    </row>
    <row r="458" spans="1:39" s="15" customFormat="1" ht="12" customHeight="1" x14ac:dyDescent="0.2">
      <c r="A458" s="1"/>
      <c r="B458" s="1"/>
      <c r="C458" s="1"/>
      <c r="D458" s="1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 t="s">
        <v>850</v>
      </c>
      <c r="AJ458" s="10"/>
      <c r="AK458" s="21"/>
      <c r="AL458" s="21"/>
      <c r="AM458" s="21"/>
    </row>
    <row r="459" spans="1:39" s="15" customFormat="1" ht="12" customHeight="1" x14ac:dyDescent="0.2">
      <c r="A459" s="1"/>
      <c r="B459" s="1"/>
      <c r="C459" s="1"/>
      <c r="D459" s="1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10"/>
      <c r="AK459" s="21"/>
      <c r="AL459" s="21"/>
      <c r="AM459" s="21"/>
    </row>
    <row r="460" spans="1:39" ht="12" customHeight="1" x14ac:dyDescent="0.2">
      <c r="A460" s="1" t="s">
        <v>145</v>
      </c>
      <c r="C460" s="1" t="s">
        <v>779</v>
      </c>
      <c r="E460" s="88">
        <v>63482.85</v>
      </c>
      <c r="F460" s="88"/>
      <c r="G460" s="88">
        <v>0</v>
      </c>
      <c r="H460" s="88"/>
      <c r="I460" s="88">
        <v>19229.41</v>
      </c>
      <c r="J460" s="88"/>
      <c r="K460" s="88">
        <v>0</v>
      </c>
      <c r="L460" s="88"/>
      <c r="M460" s="88">
        <v>0</v>
      </c>
      <c r="N460" s="88"/>
      <c r="O460" s="88">
        <v>41031.25</v>
      </c>
      <c r="P460" s="88"/>
      <c r="Q460" s="88">
        <v>54.1</v>
      </c>
      <c r="R460" s="88"/>
      <c r="S460" s="88">
        <v>66519.88</v>
      </c>
      <c r="T460" s="88"/>
      <c r="U460" s="88">
        <v>0</v>
      </c>
      <c r="V460" s="88"/>
      <c r="W460" s="88">
        <v>0</v>
      </c>
      <c r="X460" s="88"/>
      <c r="Y460" s="88">
        <v>0</v>
      </c>
      <c r="Z460" s="88"/>
      <c r="AA460" s="88">
        <v>0</v>
      </c>
      <c r="AB460" s="88"/>
      <c r="AC460" s="88">
        <v>60000</v>
      </c>
      <c r="AD460" s="88"/>
      <c r="AE460" s="88">
        <v>5700</v>
      </c>
      <c r="AF460" s="88"/>
      <c r="AG460" s="88">
        <v>0</v>
      </c>
      <c r="AH460" s="88"/>
      <c r="AI460" s="88">
        <f t="shared" si="6"/>
        <v>256017.49</v>
      </c>
      <c r="AJ460" s="10"/>
    </row>
    <row r="461" spans="1:39" ht="12" customHeight="1" x14ac:dyDescent="0.2">
      <c r="A461" s="1" t="s">
        <v>510</v>
      </c>
      <c r="C461" s="1" t="s">
        <v>509</v>
      </c>
      <c r="E461" s="76">
        <v>75153.850000000006</v>
      </c>
      <c r="F461" s="76"/>
      <c r="G461" s="76">
        <v>1113.93</v>
      </c>
      <c r="H461" s="76"/>
      <c r="I461" s="76">
        <v>74712.78</v>
      </c>
      <c r="J461" s="76"/>
      <c r="K461" s="76">
        <v>0</v>
      </c>
      <c r="L461" s="76"/>
      <c r="M461" s="76">
        <v>158.80000000000001</v>
      </c>
      <c r="N461" s="76"/>
      <c r="O461" s="76">
        <v>7911.79</v>
      </c>
      <c r="P461" s="76"/>
      <c r="Q461" s="76">
        <v>748.7</v>
      </c>
      <c r="R461" s="76"/>
      <c r="S461" s="76">
        <v>3515.75</v>
      </c>
      <c r="T461" s="76"/>
      <c r="U461" s="76">
        <v>0</v>
      </c>
      <c r="V461" s="76"/>
      <c r="W461" s="76">
        <v>0</v>
      </c>
      <c r="X461" s="76"/>
      <c r="Y461" s="76">
        <v>0</v>
      </c>
      <c r="Z461" s="76"/>
      <c r="AA461" s="76">
        <v>0</v>
      </c>
      <c r="AB461" s="76"/>
      <c r="AC461" s="76">
        <v>0</v>
      </c>
      <c r="AD461" s="76"/>
      <c r="AE461" s="76">
        <v>0</v>
      </c>
      <c r="AF461" s="76"/>
      <c r="AG461" s="76">
        <v>0</v>
      </c>
      <c r="AH461"/>
      <c r="AI461" s="76">
        <f t="shared" si="6"/>
        <v>163315.6</v>
      </c>
      <c r="AJ461" s="10"/>
    </row>
    <row r="462" spans="1:39" ht="12" customHeight="1" x14ac:dyDescent="0.2">
      <c r="A462" s="36" t="s">
        <v>38</v>
      </c>
      <c r="B462" s="36"/>
      <c r="C462" s="36" t="s">
        <v>747</v>
      </c>
      <c r="D462" s="36"/>
      <c r="E462" s="76">
        <v>106461.14</v>
      </c>
      <c r="F462" s="76"/>
      <c r="G462" s="76">
        <v>406367.04</v>
      </c>
      <c r="H462" s="76"/>
      <c r="I462" s="76">
        <v>157467.04</v>
      </c>
      <c r="J462" s="76"/>
      <c r="K462" s="76">
        <v>8403.7199999999993</v>
      </c>
      <c r="L462" s="76"/>
      <c r="M462" s="76">
        <v>0</v>
      </c>
      <c r="N462" s="76"/>
      <c r="O462" s="76">
        <v>50341.63</v>
      </c>
      <c r="P462" s="76"/>
      <c r="Q462" s="76">
        <v>5867.69</v>
      </c>
      <c r="R462" s="76"/>
      <c r="S462" s="76">
        <v>34812.879999999997</v>
      </c>
      <c r="T462" s="76"/>
      <c r="U462" s="76">
        <v>0</v>
      </c>
      <c r="V462" s="76"/>
      <c r="W462" s="76">
        <v>0</v>
      </c>
      <c r="X462" s="76"/>
      <c r="Y462" s="76">
        <v>0</v>
      </c>
      <c r="Z462" s="76"/>
      <c r="AA462" s="76">
        <v>0</v>
      </c>
      <c r="AB462" s="76"/>
      <c r="AC462" s="76">
        <v>52445.51</v>
      </c>
      <c r="AD462" s="76"/>
      <c r="AE462" s="76">
        <v>0</v>
      </c>
      <c r="AF462" s="76"/>
      <c r="AG462" s="76">
        <v>0</v>
      </c>
      <c r="AH462" s="81"/>
      <c r="AI462" s="76">
        <f t="shared" si="6"/>
        <v>822166.64999999991</v>
      </c>
      <c r="AJ462" s="36"/>
      <c r="AK462" s="39"/>
      <c r="AL462" s="39"/>
      <c r="AM462" s="39"/>
    </row>
    <row r="463" spans="1:39" ht="12" customHeight="1" x14ac:dyDescent="0.2">
      <c r="A463" s="1" t="s">
        <v>220</v>
      </c>
      <c r="C463" s="1" t="s">
        <v>802</v>
      </c>
      <c r="E463" s="76">
        <v>15415.04</v>
      </c>
      <c r="F463" s="76"/>
      <c r="G463" s="76">
        <v>64015.6</v>
      </c>
      <c r="H463" s="76"/>
      <c r="I463" s="76">
        <v>37368.080000000002</v>
      </c>
      <c r="J463" s="76"/>
      <c r="K463" s="76">
        <v>0</v>
      </c>
      <c r="L463" s="76"/>
      <c r="M463" s="76">
        <v>0</v>
      </c>
      <c r="N463" s="76"/>
      <c r="O463" s="76">
        <v>2232</v>
      </c>
      <c r="P463" s="76"/>
      <c r="Q463" s="76">
        <v>151.99</v>
      </c>
      <c r="R463" s="76"/>
      <c r="S463" s="76">
        <v>16</v>
      </c>
      <c r="T463" s="76"/>
      <c r="U463" s="76">
        <v>0</v>
      </c>
      <c r="V463" s="76"/>
      <c r="W463" s="76">
        <v>0</v>
      </c>
      <c r="X463" s="76"/>
      <c r="Y463" s="76">
        <v>0</v>
      </c>
      <c r="Z463" s="76"/>
      <c r="AA463" s="76">
        <v>0</v>
      </c>
      <c r="AB463" s="76"/>
      <c r="AC463" s="76">
        <v>0</v>
      </c>
      <c r="AD463" s="76"/>
      <c r="AE463" s="76">
        <v>0</v>
      </c>
      <c r="AF463" s="76"/>
      <c r="AG463" s="76">
        <v>0</v>
      </c>
      <c r="AH463"/>
      <c r="AI463" s="76">
        <f t="shared" si="6"/>
        <v>119198.71</v>
      </c>
      <c r="AJ463" s="10"/>
      <c r="AK463" s="21"/>
      <c r="AL463" s="21"/>
      <c r="AM463" s="21"/>
    </row>
    <row r="464" spans="1:39" s="21" customFormat="1" ht="12" customHeight="1" x14ac:dyDescent="0.2">
      <c r="A464" s="15" t="s">
        <v>701</v>
      </c>
      <c r="B464" s="15"/>
      <c r="C464" s="15" t="s">
        <v>500</v>
      </c>
      <c r="D464" s="15"/>
      <c r="E464" s="76">
        <v>38044</v>
      </c>
      <c r="F464" s="76"/>
      <c r="G464" s="76">
        <v>0</v>
      </c>
      <c r="H464" s="76"/>
      <c r="I464" s="76">
        <v>811</v>
      </c>
      <c r="J464" s="76"/>
      <c r="K464" s="76">
        <v>0</v>
      </c>
      <c r="L464" s="76"/>
      <c r="M464" s="76">
        <v>0</v>
      </c>
      <c r="N464" s="76"/>
      <c r="O464" s="76">
        <v>2694</v>
      </c>
      <c r="P464" s="76"/>
      <c r="Q464" s="76">
        <v>0</v>
      </c>
      <c r="R464" s="76"/>
      <c r="S464" s="76">
        <v>3588</v>
      </c>
      <c r="T464" s="76"/>
      <c r="U464" s="76">
        <v>0</v>
      </c>
      <c r="V464" s="76"/>
      <c r="W464" s="76">
        <v>0</v>
      </c>
      <c r="X464" s="76"/>
      <c r="Y464" s="76">
        <v>0</v>
      </c>
      <c r="Z464" s="76"/>
      <c r="AA464" s="76">
        <v>0</v>
      </c>
      <c r="AB464" s="76"/>
      <c r="AC464" s="76">
        <v>0</v>
      </c>
      <c r="AD464" s="76"/>
      <c r="AE464" s="76">
        <v>0</v>
      </c>
      <c r="AF464" s="76"/>
      <c r="AG464" s="76">
        <v>0</v>
      </c>
      <c r="AH464" s="77"/>
      <c r="AI464" s="76">
        <f t="shared" si="6"/>
        <v>45137</v>
      </c>
      <c r="AJ464" s="37"/>
      <c r="AK464" s="15"/>
      <c r="AL464" s="15"/>
      <c r="AM464" s="15"/>
    </row>
    <row r="465" spans="1:39" ht="12" customHeight="1" x14ac:dyDescent="0.2">
      <c r="A465" s="1" t="s">
        <v>41</v>
      </c>
      <c r="C465" s="1" t="s">
        <v>748</v>
      </c>
      <c r="E465" s="76">
        <v>26615.97</v>
      </c>
      <c r="F465" s="76"/>
      <c r="G465" s="76">
        <v>0</v>
      </c>
      <c r="H465" s="76"/>
      <c r="I465" s="76">
        <v>57721.16</v>
      </c>
      <c r="J465" s="76"/>
      <c r="K465" s="76">
        <v>1267.5899999999999</v>
      </c>
      <c r="L465" s="76"/>
      <c r="M465" s="76">
        <v>0</v>
      </c>
      <c r="N465" s="76"/>
      <c r="O465" s="76">
        <v>5743.39</v>
      </c>
      <c r="P465" s="76"/>
      <c r="Q465" s="76">
        <v>0</v>
      </c>
      <c r="R465" s="76"/>
      <c r="S465" s="76">
        <v>2752.8</v>
      </c>
      <c r="T465" s="76"/>
      <c r="U465" s="76">
        <v>0</v>
      </c>
      <c r="V465" s="76"/>
      <c r="W465" s="76">
        <v>0</v>
      </c>
      <c r="X465" s="76"/>
      <c r="Y465" s="76">
        <v>2154</v>
      </c>
      <c r="Z465" s="76"/>
      <c r="AA465" s="76">
        <v>0</v>
      </c>
      <c r="AB465" s="76"/>
      <c r="AC465" s="76">
        <v>5000</v>
      </c>
      <c r="AD465" s="76"/>
      <c r="AE465" s="76">
        <v>0</v>
      </c>
      <c r="AF465" s="76"/>
      <c r="AG465" s="76">
        <v>0</v>
      </c>
      <c r="AH465"/>
      <c r="AI465" s="76">
        <f t="shared" si="6"/>
        <v>101254.91</v>
      </c>
      <c r="AJ465" s="10"/>
      <c r="AK465" s="7"/>
      <c r="AL465" s="7"/>
      <c r="AM465" s="7"/>
    </row>
    <row r="466" spans="1:39" ht="12" customHeight="1" x14ac:dyDescent="0.2">
      <c r="A466" s="1" t="s">
        <v>313</v>
      </c>
      <c r="C466" s="1" t="s">
        <v>312</v>
      </c>
      <c r="E466" s="76">
        <v>33032.53</v>
      </c>
      <c r="F466" s="76"/>
      <c r="G466" s="76">
        <v>299403.42</v>
      </c>
      <c r="H466" s="76"/>
      <c r="I466" s="76">
        <v>54051.839999999997</v>
      </c>
      <c r="J466" s="76"/>
      <c r="K466" s="76">
        <v>0</v>
      </c>
      <c r="L466" s="76"/>
      <c r="M466" s="76">
        <v>19515.13</v>
      </c>
      <c r="N466" s="76"/>
      <c r="O466" s="76">
        <v>14340.41</v>
      </c>
      <c r="P466" s="76"/>
      <c r="Q466" s="76">
        <v>483.04</v>
      </c>
      <c r="R466" s="76"/>
      <c r="S466" s="76">
        <v>36666.71</v>
      </c>
      <c r="T466" s="76"/>
      <c r="U466" s="76">
        <v>0</v>
      </c>
      <c r="V466" s="76"/>
      <c r="W466" s="76">
        <v>0</v>
      </c>
      <c r="X466" s="76"/>
      <c r="Y466" s="76">
        <v>0</v>
      </c>
      <c r="Z466" s="76"/>
      <c r="AA466" s="76">
        <v>0</v>
      </c>
      <c r="AB466" s="76"/>
      <c r="AC466" s="76">
        <v>0</v>
      </c>
      <c r="AD466" s="76"/>
      <c r="AE466" s="76">
        <v>0</v>
      </c>
      <c r="AF466" s="76"/>
      <c r="AG466" s="76">
        <v>0</v>
      </c>
      <c r="AH466"/>
      <c r="AI466" s="76">
        <f t="shared" si="6"/>
        <v>457493.0799999999</v>
      </c>
      <c r="AJ466" s="10"/>
      <c r="AK466" s="22"/>
      <c r="AL466" s="22"/>
      <c r="AM466" s="22"/>
    </row>
    <row r="467" spans="1:39" s="21" customFormat="1" ht="12" customHeight="1" x14ac:dyDescent="0.2">
      <c r="A467" s="1" t="s">
        <v>841</v>
      </c>
      <c r="B467" s="1"/>
      <c r="C467" s="1" t="s">
        <v>749</v>
      </c>
      <c r="D467" s="1"/>
      <c r="E467" s="76">
        <v>53077.52</v>
      </c>
      <c r="F467" s="76"/>
      <c r="G467" s="76">
        <v>0</v>
      </c>
      <c r="H467" s="76"/>
      <c r="I467" s="76">
        <v>27585.57</v>
      </c>
      <c r="J467" s="76"/>
      <c r="K467" s="76">
        <v>0</v>
      </c>
      <c r="L467" s="76"/>
      <c r="M467" s="76">
        <v>0</v>
      </c>
      <c r="N467" s="76"/>
      <c r="O467" s="76">
        <v>60315.77</v>
      </c>
      <c r="P467" s="76"/>
      <c r="Q467" s="76">
        <v>510.25</v>
      </c>
      <c r="R467" s="76"/>
      <c r="S467" s="76">
        <v>717.06</v>
      </c>
      <c r="T467" s="76"/>
      <c r="U467" s="76">
        <v>0</v>
      </c>
      <c r="V467" s="76"/>
      <c r="W467" s="76">
        <v>0</v>
      </c>
      <c r="X467" s="76"/>
      <c r="Y467" s="76">
        <v>0</v>
      </c>
      <c r="Z467" s="76"/>
      <c r="AA467" s="76">
        <v>113475.85</v>
      </c>
      <c r="AB467" s="76"/>
      <c r="AC467" s="76">
        <v>650</v>
      </c>
      <c r="AD467" s="76"/>
      <c r="AE467" s="76">
        <v>237.05</v>
      </c>
      <c r="AF467" s="76"/>
      <c r="AG467" s="76">
        <v>0</v>
      </c>
      <c r="AH467"/>
      <c r="AI467" s="76">
        <f t="shared" si="6"/>
        <v>256569.06999999998</v>
      </c>
      <c r="AJ467" s="10"/>
      <c r="AK467" s="22"/>
      <c r="AL467" s="22"/>
      <c r="AM467" s="22"/>
    </row>
    <row r="468" spans="1:39" s="21" customFormat="1" ht="12" customHeight="1" x14ac:dyDescent="0.2">
      <c r="A468" s="1" t="s">
        <v>333</v>
      </c>
      <c r="B468" s="1"/>
      <c r="C468" s="1" t="s">
        <v>329</v>
      </c>
      <c r="D468" s="1"/>
      <c r="E468" s="76">
        <v>4109</v>
      </c>
      <c r="F468" s="76"/>
      <c r="G468" s="76">
        <v>0</v>
      </c>
      <c r="H468" s="76"/>
      <c r="I468" s="76">
        <v>21999</v>
      </c>
      <c r="J468" s="76"/>
      <c r="K468" s="76">
        <v>0</v>
      </c>
      <c r="L468" s="76"/>
      <c r="M468" s="76">
        <v>0</v>
      </c>
      <c r="N468" s="76"/>
      <c r="O468" s="76">
        <v>0</v>
      </c>
      <c r="P468" s="76"/>
      <c r="Q468" s="76">
        <v>0</v>
      </c>
      <c r="R468" s="76"/>
      <c r="S468" s="76">
        <v>1669</v>
      </c>
      <c r="T468" s="76"/>
      <c r="U468" s="76">
        <v>0</v>
      </c>
      <c r="V468" s="76"/>
      <c r="W468" s="76">
        <v>0</v>
      </c>
      <c r="X468" s="76"/>
      <c r="Y468" s="76">
        <v>0</v>
      </c>
      <c r="Z468" s="76"/>
      <c r="AA468" s="76">
        <v>0</v>
      </c>
      <c r="AB468" s="76"/>
      <c r="AC468" s="76">
        <v>0</v>
      </c>
      <c r="AD468" s="76"/>
      <c r="AE468" s="76">
        <v>0</v>
      </c>
      <c r="AF468" s="76"/>
      <c r="AG468" s="76">
        <v>0</v>
      </c>
      <c r="AH468" s="76"/>
      <c r="AI468" s="76">
        <f t="shared" si="6"/>
        <v>27777</v>
      </c>
      <c r="AJ468" s="10"/>
      <c r="AK468" s="22"/>
      <c r="AL468" s="22"/>
      <c r="AM468" s="22"/>
    </row>
    <row r="469" spans="1:39" ht="12" customHeight="1" x14ac:dyDescent="0.2">
      <c r="A469" s="1" t="s">
        <v>324</v>
      </c>
      <c r="C469" s="1" t="s">
        <v>316</v>
      </c>
      <c r="E469" s="76">
        <v>179517</v>
      </c>
      <c r="F469" s="76"/>
      <c r="G469" s="76">
        <v>727946</v>
      </c>
      <c r="H469" s="76"/>
      <c r="I469" s="76">
        <v>24679</v>
      </c>
      <c r="J469" s="76"/>
      <c r="K469" s="76">
        <v>0</v>
      </c>
      <c r="L469" s="76"/>
      <c r="M469" s="76">
        <v>104889</v>
      </c>
      <c r="N469" s="76"/>
      <c r="O469" s="76">
        <v>384967</v>
      </c>
      <c r="P469" s="76"/>
      <c r="Q469" s="76">
        <v>37</v>
      </c>
      <c r="R469" s="76"/>
      <c r="S469" s="76">
        <v>187582</v>
      </c>
      <c r="T469" s="76"/>
      <c r="U469" s="76">
        <v>0</v>
      </c>
      <c r="V469" s="76"/>
      <c r="W469" s="76">
        <v>0</v>
      </c>
      <c r="X469" s="76"/>
      <c r="Y469" s="76">
        <v>0</v>
      </c>
      <c r="Z469" s="76"/>
      <c r="AA469" s="76">
        <v>0</v>
      </c>
      <c r="AB469" s="76"/>
      <c r="AC469" s="76">
        <v>0</v>
      </c>
      <c r="AD469" s="76"/>
      <c r="AE469" s="76">
        <v>0</v>
      </c>
      <c r="AF469" s="76"/>
      <c r="AG469" s="76">
        <v>0</v>
      </c>
      <c r="AH469" s="76"/>
      <c r="AI469" s="76">
        <f t="shared" si="6"/>
        <v>1609617</v>
      </c>
      <c r="AJ469" s="10"/>
      <c r="AK469" s="22"/>
      <c r="AL469" s="22"/>
      <c r="AM469" s="22"/>
    </row>
    <row r="470" spans="1:39" ht="12" customHeight="1" x14ac:dyDescent="0.2">
      <c r="A470" s="1" t="s">
        <v>564</v>
      </c>
      <c r="C470" s="1" t="s">
        <v>560</v>
      </c>
      <c r="E470" s="76">
        <v>142137</v>
      </c>
      <c r="F470" s="76"/>
      <c r="G470" s="76">
        <v>724064</v>
      </c>
      <c r="H470" s="76"/>
      <c r="I470" s="76">
        <v>183987</v>
      </c>
      <c r="J470" s="76"/>
      <c r="K470" s="76">
        <v>4553</v>
      </c>
      <c r="L470" s="76"/>
      <c r="M470" s="76">
        <v>26205</v>
      </c>
      <c r="N470" s="76"/>
      <c r="O470" s="76">
        <v>34667</v>
      </c>
      <c r="P470" s="76"/>
      <c r="Q470" s="76">
        <v>668</v>
      </c>
      <c r="R470" s="76"/>
      <c r="S470" s="76">
        <f>19054+600</f>
        <v>19654</v>
      </c>
      <c r="T470" s="76"/>
      <c r="U470" s="76">
        <v>0</v>
      </c>
      <c r="V470" s="76"/>
      <c r="W470" s="76">
        <v>0</v>
      </c>
      <c r="X470" s="76"/>
      <c r="Y470" s="76">
        <v>0</v>
      </c>
      <c r="Z470" s="76"/>
      <c r="AA470" s="76">
        <v>0</v>
      </c>
      <c r="AB470" s="76"/>
      <c r="AC470" s="76">
        <v>0</v>
      </c>
      <c r="AD470" s="76"/>
      <c r="AE470" s="76">
        <v>0</v>
      </c>
      <c r="AF470" s="76"/>
      <c r="AG470" s="76">
        <v>0</v>
      </c>
      <c r="AH470" s="76"/>
      <c r="AI470" s="76">
        <f t="shared" si="6"/>
        <v>1135935</v>
      </c>
      <c r="AJ470" s="10"/>
    </row>
    <row r="471" spans="1:39" ht="12" customHeight="1" x14ac:dyDescent="0.2">
      <c r="A471" s="1" t="s">
        <v>943</v>
      </c>
      <c r="C471" s="1" t="s">
        <v>805</v>
      </c>
      <c r="E471" s="76">
        <v>114037</v>
      </c>
      <c r="F471" s="76"/>
      <c r="G471" s="76">
        <v>0</v>
      </c>
      <c r="H471" s="76"/>
      <c r="I471" s="76">
        <v>278226</v>
      </c>
      <c r="J471" s="76"/>
      <c r="K471" s="76">
        <v>0</v>
      </c>
      <c r="L471" s="76"/>
      <c r="M471" s="76">
        <v>6779</v>
      </c>
      <c r="N471" s="76"/>
      <c r="O471" s="76">
        <v>789907</v>
      </c>
      <c r="P471" s="76"/>
      <c r="Q471" s="76">
        <v>116825</v>
      </c>
      <c r="R471" s="76"/>
      <c r="S471" s="76">
        <v>26617</v>
      </c>
      <c r="T471" s="76"/>
      <c r="U471" s="76">
        <v>0</v>
      </c>
      <c r="V471" s="76"/>
      <c r="W471" s="76">
        <v>0</v>
      </c>
      <c r="X471" s="76"/>
      <c r="Y471" s="76">
        <v>0</v>
      </c>
      <c r="Z471" s="76"/>
      <c r="AA471" s="76">
        <f>401189+39242</f>
        <v>440431</v>
      </c>
      <c r="AB471" s="76"/>
      <c r="AC471" s="76">
        <v>100</v>
      </c>
      <c r="AD471" s="76"/>
      <c r="AE471" s="76">
        <v>668494</v>
      </c>
      <c r="AF471" s="76"/>
      <c r="AG471" s="76">
        <v>0</v>
      </c>
      <c r="AH471" s="76"/>
      <c r="AI471" s="76">
        <f t="shared" si="6"/>
        <v>2441416</v>
      </c>
      <c r="AJ471" s="10"/>
    </row>
    <row r="472" spans="1:39" ht="12" hidden="1" customHeight="1" x14ac:dyDescent="0.2">
      <c r="A472" s="1" t="s">
        <v>684</v>
      </c>
      <c r="C472" s="1" t="s">
        <v>295</v>
      </c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>
        <f t="shared" ref="AI472:AI537" si="7">SUM(E472:AG472)</f>
        <v>0</v>
      </c>
      <c r="AJ472" s="10"/>
    </row>
    <row r="473" spans="1:39" s="21" customFormat="1" ht="12" customHeight="1" x14ac:dyDescent="0.2">
      <c r="A473" s="1" t="s">
        <v>96</v>
      </c>
      <c r="B473" s="1"/>
      <c r="C473" s="1" t="s">
        <v>763</v>
      </c>
      <c r="D473" s="1"/>
      <c r="E473" s="76">
        <v>189975.34</v>
      </c>
      <c r="F473" s="76"/>
      <c r="G473" s="76">
        <v>1329342.02</v>
      </c>
      <c r="H473" s="76"/>
      <c r="I473" s="76">
        <v>96354.54</v>
      </c>
      <c r="J473" s="76"/>
      <c r="K473" s="76">
        <v>0</v>
      </c>
      <c r="L473" s="76"/>
      <c r="M473" s="76">
        <v>24</v>
      </c>
      <c r="N473" s="76"/>
      <c r="O473" s="76">
        <v>132229.82</v>
      </c>
      <c r="P473" s="76"/>
      <c r="Q473" s="76">
        <v>623.73</v>
      </c>
      <c r="R473" s="76"/>
      <c r="S473" s="76">
        <v>33482.800000000003</v>
      </c>
      <c r="T473" s="76"/>
      <c r="U473" s="76">
        <v>0</v>
      </c>
      <c r="V473" s="76"/>
      <c r="W473" s="76">
        <v>0</v>
      </c>
      <c r="X473" s="76"/>
      <c r="Y473" s="76">
        <v>500</v>
      </c>
      <c r="Z473" s="76"/>
      <c r="AA473" s="76">
        <v>3892.1</v>
      </c>
      <c r="AB473" s="76"/>
      <c r="AC473" s="76">
        <v>0</v>
      </c>
      <c r="AD473" s="76"/>
      <c r="AE473" s="76">
        <v>0</v>
      </c>
      <c r="AF473" s="76"/>
      <c r="AG473" s="76">
        <v>0</v>
      </c>
      <c r="AH473"/>
      <c r="AI473" s="76">
        <f t="shared" si="7"/>
        <v>1786424.3500000003</v>
      </c>
      <c r="AJ473" s="10"/>
    </row>
    <row r="474" spans="1:39" s="10" customFormat="1" ht="12" customHeight="1" x14ac:dyDescent="0.2">
      <c r="A474" s="1" t="s">
        <v>55</v>
      </c>
      <c r="B474" s="1"/>
      <c r="C474" s="1" t="s">
        <v>753</v>
      </c>
      <c r="D474" s="1"/>
      <c r="E474" s="76">
        <v>6212.91</v>
      </c>
      <c r="F474" s="76"/>
      <c r="G474" s="76">
        <v>0</v>
      </c>
      <c r="H474" s="76"/>
      <c r="I474" s="76">
        <v>43366.52</v>
      </c>
      <c r="J474" s="76"/>
      <c r="K474" s="76">
        <v>0</v>
      </c>
      <c r="L474" s="76"/>
      <c r="M474" s="76">
        <v>0</v>
      </c>
      <c r="N474" s="76"/>
      <c r="O474" s="76">
        <v>0</v>
      </c>
      <c r="P474" s="76"/>
      <c r="Q474" s="76">
        <v>221.28</v>
      </c>
      <c r="R474" s="76"/>
      <c r="S474" s="76">
        <v>17551.54</v>
      </c>
      <c r="T474" s="76"/>
      <c r="U474" s="76">
        <v>0</v>
      </c>
      <c r="V474" s="76"/>
      <c r="W474" s="76">
        <v>0</v>
      </c>
      <c r="X474" s="76"/>
      <c r="Y474" s="76">
        <v>0</v>
      </c>
      <c r="Z474" s="76"/>
      <c r="AA474" s="76">
        <v>0</v>
      </c>
      <c r="AB474" s="76"/>
      <c r="AC474" s="76">
        <v>0</v>
      </c>
      <c r="AD474" s="76"/>
      <c r="AE474" s="76">
        <v>1008.19</v>
      </c>
      <c r="AF474" s="76"/>
      <c r="AG474" s="76">
        <v>0</v>
      </c>
      <c r="AH474"/>
      <c r="AI474" s="76">
        <f t="shared" si="7"/>
        <v>68360.44</v>
      </c>
      <c r="AK474" s="7"/>
      <c r="AL474" s="7"/>
      <c r="AM474" s="7"/>
    </row>
    <row r="475" spans="1:39" s="19" customFormat="1" ht="12" customHeight="1" x14ac:dyDescent="0.2">
      <c r="A475" s="1" t="s">
        <v>605</v>
      </c>
      <c r="B475" s="1"/>
      <c r="C475" s="1" t="s">
        <v>601</v>
      </c>
      <c r="D475" s="1"/>
      <c r="E475" s="76">
        <v>166938</v>
      </c>
      <c r="F475" s="76"/>
      <c r="G475" s="76">
        <v>666873</v>
      </c>
      <c r="H475" s="76"/>
      <c r="I475" s="76">
        <v>33683</v>
      </c>
      <c r="J475" s="76"/>
      <c r="K475" s="76">
        <v>88</v>
      </c>
      <c r="L475" s="76"/>
      <c r="M475" s="76">
        <v>76829</v>
      </c>
      <c r="N475" s="76"/>
      <c r="O475" s="76">
        <v>64604</v>
      </c>
      <c r="P475" s="76"/>
      <c r="Q475" s="76">
        <v>9670</v>
      </c>
      <c r="R475" s="76"/>
      <c r="S475" s="76">
        <v>0</v>
      </c>
      <c r="T475" s="76"/>
      <c r="U475" s="76">
        <v>0</v>
      </c>
      <c r="V475" s="76"/>
      <c r="W475" s="76">
        <v>0</v>
      </c>
      <c r="X475" s="76"/>
      <c r="Y475" s="76">
        <v>0</v>
      </c>
      <c r="Z475" s="76"/>
      <c r="AA475" s="76">
        <v>0</v>
      </c>
      <c r="AB475" s="76"/>
      <c r="AC475" s="76">
        <v>0</v>
      </c>
      <c r="AD475" s="76"/>
      <c r="AE475" s="76">
        <v>0</v>
      </c>
      <c r="AF475" s="76"/>
      <c r="AG475" s="76">
        <v>0</v>
      </c>
      <c r="AH475" s="76"/>
      <c r="AI475" s="76">
        <f t="shared" si="7"/>
        <v>1018685</v>
      </c>
      <c r="AJ475" s="10"/>
      <c r="AK475" s="1"/>
      <c r="AL475" s="1"/>
      <c r="AM475" s="1"/>
    </row>
    <row r="476" spans="1:39" ht="12" customHeight="1" x14ac:dyDescent="0.2">
      <c r="A476" s="1" t="s">
        <v>97</v>
      </c>
      <c r="C476" s="1" t="s">
        <v>763</v>
      </c>
      <c r="E476" s="76">
        <v>327631.01</v>
      </c>
      <c r="F476" s="76"/>
      <c r="G476" s="76">
        <v>0</v>
      </c>
      <c r="H476" s="76"/>
      <c r="I476" s="76">
        <v>91734.55</v>
      </c>
      <c r="J476" s="76"/>
      <c r="K476" s="76">
        <v>0</v>
      </c>
      <c r="L476" s="76"/>
      <c r="M476" s="76">
        <v>0</v>
      </c>
      <c r="N476" s="76"/>
      <c r="O476" s="76">
        <v>18701.18</v>
      </c>
      <c r="P476" s="76"/>
      <c r="Q476" s="76">
        <v>0.5</v>
      </c>
      <c r="R476" s="76"/>
      <c r="S476" s="76">
        <v>1781.96</v>
      </c>
      <c r="T476" s="76"/>
      <c r="U476" s="76">
        <v>0</v>
      </c>
      <c r="V476" s="76"/>
      <c r="W476" s="76">
        <v>0</v>
      </c>
      <c r="X476" s="76"/>
      <c r="Y476" s="76">
        <v>0</v>
      </c>
      <c r="Z476" s="76"/>
      <c r="AA476" s="76">
        <v>0</v>
      </c>
      <c r="AB476" s="76"/>
      <c r="AC476" s="76">
        <v>0</v>
      </c>
      <c r="AD476" s="76"/>
      <c r="AE476" s="76">
        <v>0</v>
      </c>
      <c r="AF476" s="76"/>
      <c r="AG476" s="76">
        <v>0</v>
      </c>
      <c r="AH476"/>
      <c r="AI476" s="76">
        <f t="shared" si="7"/>
        <v>439849.2</v>
      </c>
      <c r="AJ476" s="10"/>
    </row>
    <row r="477" spans="1:39" s="21" customFormat="1" ht="12" customHeight="1" x14ac:dyDescent="0.2">
      <c r="A477" s="1" t="s">
        <v>418</v>
      </c>
      <c r="B477" s="1"/>
      <c r="C477" s="1" t="s">
        <v>416</v>
      </c>
      <c r="D477" s="1"/>
      <c r="E477" s="76">
        <v>20511.3</v>
      </c>
      <c r="F477" s="76"/>
      <c r="G477" s="76">
        <v>0</v>
      </c>
      <c r="H477" s="76"/>
      <c r="I477" s="76">
        <v>33395.300000000003</v>
      </c>
      <c r="J477" s="76"/>
      <c r="K477" s="76">
        <v>0</v>
      </c>
      <c r="L477" s="76"/>
      <c r="M477" s="76">
        <v>25991</v>
      </c>
      <c r="N477" s="76"/>
      <c r="O477" s="76">
        <v>4908.8100000000004</v>
      </c>
      <c r="P477" s="76"/>
      <c r="Q477" s="76">
        <v>340.07</v>
      </c>
      <c r="R477" s="76"/>
      <c r="S477" s="76">
        <v>0</v>
      </c>
      <c r="T477" s="76"/>
      <c r="U477" s="76">
        <v>0</v>
      </c>
      <c r="V477" s="76"/>
      <c r="W477" s="76">
        <v>0</v>
      </c>
      <c r="X477" s="76"/>
      <c r="Y477" s="76">
        <v>0</v>
      </c>
      <c r="Z477" s="76"/>
      <c r="AA477" s="76">
        <v>0</v>
      </c>
      <c r="AB477" s="76"/>
      <c r="AC477" s="76">
        <v>0</v>
      </c>
      <c r="AD477" s="76"/>
      <c r="AE477" s="76">
        <v>12170.73</v>
      </c>
      <c r="AF477" s="76"/>
      <c r="AG477" s="76">
        <v>0</v>
      </c>
      <c r="AH477"/>
      <c r="AI477" s="76">
        <f t="shared" si="7"/>
        <v>97317.21</v>
      </c>
      <c r="AJ477" s="10"/>
      <c r="AK477" s="1"/>
      <c r="AL477" s="1"/>
      <c r="AM477" s="1"/>
    </row>
    <row r="478" spans="1:39" ht="12" customHeight="1" x14ac:dyDescent="0.2">
      <c r="A478" s="1" t="s">
        <v>293</v>
      </c>
      <c r="C478" s="1" t="s">
        <v>292</v>
      </c>
      <c r="E478" s="76">
        <v>23409.66</v>
      </c>
      <c r="F478" s="76"/>
      <c r="G478" s="76">
        <v>0</v>
      </c>
      <c r="H478" s="76"/>
      <c r="I478" s="76">
        <v>5849.39</v>
      </c>
      <c r="J478" s="76"/>
      <c r="K478" s="76">
        <v>0</v>
      </c>
      <c r="L478" s="76"/>
      <c r="M478" s="76">
        <v>0</v>
      </c>
      <c r="N478" s="76"/>
      <c r="O478" s="76">
        <v>220401.01</v>
      </c>
      <c r="P478" s="76"/>
      <c r="Q478" s="76">
        <v>90.07</v>
      </c>
      <c r="R478" s="76"/>
      <c r="S478" s="76">
        <v>16771.16</v>
      </c>
      <c r="T478" s="76"/>
      <c r="U478" s="76">
        <v>0</v>
      </c>
      <c r="V478" s="76"/>
      <c r="W478" s="76">
        <v>0</v>
      </c>
      <c r="X478" s="76"/>
      <c r="Y478" s="76">
        <v>0</v>
      </c>
      <c r="Z478" s="76"/>
      <c r="AA478" s="76">
        <v>0</v>
      </c>
      <c r="AB478" s="76"/>
      <c r="AC478" s="76">
        <v>0</v>
      </c>
      <c r="AD478" s="76"/>
      <c r="AE478" s="76">
        <v>0</v>
      </c>
      <c r="AF478" s="76"/>
      <c r="AG478" s="76">
        <v>250</v>
      </c>
      <c r="AH478"/>
      <c r="AI478" s="76">
        <f t="shared" si="7"/>
        <v>266771.28999999998</v>
      </c>
      <c r="AJ478" s="10"/>
      <c r="AK478" s="7"/>
      <c r="AL478" s="7"/>
      <c r="AM478" s="7"/>
    </row>
    <row r="479" spans="1:39" s="21" customFormat="1" ht="12" customHeight="1" x14ac:dyDescent="0.2">
      <c r="A479" s="1" t="s">
        <v>685</v>
      </c>
      <c r="B479" s="1"/>
      <c r="C479" s="1" t="s">
        <v>671</v>
      </c>
      <c r="D479" s="1"/>
      <c r="E479" s="76">
        <v>154302.17000000001</v>
      </c>
      <c r="F479" s="76"/>
      <c r="G479" s="76">
        <v>460873.38</v>
      </c>
      <c r="H479" s="76"/>
      <c r="I479" s="76">
        <v>72417.649999999994</v>
      </c>
      <c r="J479" s="76"/>
      <c r="K479" s="76">
        <v>0</v>
      </c>
      <c r="L479" s="76"/>
      <c r="M479" s="76">
        <v>23425.360000000001</v>
      </c>
      <c r="N479" s="76"/>
      <c r="O479" s="76">
        <v>160864.72</v>
      </c>
      <c r="P479" s="76"/>
      <c r="Q479" s="76">
        <v>221.65</v>
      </c>
      <c r="R479" s="76"/>
      <c r="S479" s="76">
        <v>12795.68</v>
      </c>
      <c r="T479" s="76"/>
      <c r="U479" s="76">
        <v>0</v>
      </c>
      <c r="V479" s="76"/>
      <c r="W479" s="76">
        <v>0</v>
      </c>
      <c r="X479" s="76"/>
      <c r="Y479" s="76">
        <v>678</v>
      </c>
      <c r="Z479" s="76"/>
      <c r="AA479" s="76">
        <v>0</v>
      </c>
      <c r="AB479" s="76"/>
      <c r="AC479" s="76">
        <v>2800</v>
      </c>
      <c r="AD479" s="76"/>
      <c r="AE479" s="76">
        <v>0</v>
      </c>
      <c r="AF479" s="76"/>
      <c r="AG479" s="76">
        <v>0</v>
      </c>
      <c r="AH479"/>
      <c r="AI479" s="76">
        <f t="shared" si="7"/>
        <v>888378.6100000001</v>
      </c>
      <c r="AJ479" s="10"/>
      <c r="AK479" s="22"/>
      <c r="AL479" s="22"/>
      <c r="AM479" s="22"/>
    </row>
    <row r="480" spans="1:39" s="21" customFormat="1" ht="12" customHeight="1" x14ac:dyDescent="0.2">
      <c r="A480" s="1" t="s">
        <v>289</v>
      </c>
      <c r="B480" s="1"/>
      <c r="C480" s="1" t="s">
        <v>287</v>
      </c>
      <c r="D480" s="1"/>
      <c r="E480" s="76">
        <v>27267.77</v>
      </c>
      <c r="F480" s="76"/>
      <c r="G480" s="76">
        <v>208479.03</v>
      </c>
      <c r="H480" s="76"/>
      <c r="I480" s="76">
        <v>19702.939999999999</v>
      </c>
      <c r="J480" s="76"/>
      <c r="K480" s="76">
        <v>0</v>
      </c>
      <c r="L480" s="76"/>
      <c r="M480" s="76">
        <v>0</v>
      </c>
      <c r="N480" s="76"/>
      <c r="O480" s="76">
        <v>18351.53</v>
      </c>
      <c r="P480" s="76"/>
      <c r="Q480" s="76">
        <v>2084.79</v>
      </c>
      <c r="R480" s="76"/>
      <c r="S480" s="76">
        <v>0</v>
      </c>
      <c r="T480" s="76"/>
      <c r="U480" s="76">
        <v>0</v>
      </c>
      <c r="V480" s="76"/>
      <c r="W480" s="76">
        <v>0</v>
      </c>
      <c r="X480" s="76"/>
      <c r="Y480" s="76">
        <v>0</v>
      </c>
      <c r="Z480" s="76"/>
      <c r="AA480" s="76">
        <v>0</v>
      </c>
      <c r="AB480" s="76"/>
      <c r="AC480" s="76">
        <v>0</v>
      </c>
      <c r="AD480" s="76"/>
      <c r="AE480" s="76">
        <v>63458.12</v>
      </c>
      <c r="AF480" s="76"/>
      <c r="AG480" s="76">
        <v>0</v>
      </c>
      <c r="AH480"/>
      <c r="AI480" s="76">
        <f t="shared" si="7"/>
        <v>339344.18</v>
      </c>
      <c r="AJ480" s="10"/>
      <c r="AK480" s="1"/>
      <c r="AL480" s="1"/>
      <c r="AM480" s="1"/>
    </row>
    <row r="481" spans="1:39" s="21" customFormat="1" ht="12" customHeight="1" x14ac:dyDescent="0.2">
      <c r="A481" s="10" t="s">
        <v>124</v>
      </c>
      <c r="B481" s="10"/>
      <c r="C481" s="10" t="s">
        <v>772</v>
      </c>
      <c r="D481" s="10"/>
      <c r="E481" s="76">
        <v>567511.72</v>
      </c>
      <c r="F481" s="76"/>
      <c r="G481" s="76">
        <v>866187.36</v>
      </c>
      <c r="H481" s="76"/>
      <c r="I481" s="76">
        <v>413861.23</v>
      </c>
      <c r="J481" s="76"/>
      <c r="K481" s="76">
        <v>0</v>
      </c>
      <c r="L481" s="76"/>
      <c r="M481" s="76">
        <v>2100</v>
      </c>
      <c r="N481" s="76"/>
      <c r="O481" s="76">
        <v>22392.75</v>
      </c>
      <c r="P481" s="76"/>
      <c r="Q481" s="76">
        <v>87930.74</v>
      </c>
      <c r="R481" s="76"/>
      <c r="S481" s="76">
        <v>15488.67</v>
      </c>
      <c r="T481" s="76"/>
      <c r="U481" s="76">
        <v>0</v>
      </c>
      <c r="V481" s="76"/>
      <c r="W481" s="76">
        <v>0</v>
      </c>
      <c r="X481" s="76"/>
      <c r="Y481" s="76">
        <v>0</v>
      </c>
      <c r="Z481" s="76"/>
      <c r="AA481" s="76">
        <v>0</v>
      </c>
      <c r="AB481" s="76"/>
      <c r="AC481" s="76">
        <v>0</v>
      </c>
      <c r="AD481" s="76"/>
      <c r="AE481" s="76">
        <v>0</v>
      </c>
      <c r="AF481" s="76"/>
      <c r="AG481" s="76">
        <v>0</v>
      </c>
      <c r="AH481"/>
      <c r="AI481" s="76">
        <f t="shared" si="7"/>
        <v>1975472.47</v>
      </c>
      <c r="AJ481" s="10"/>
      <c r="AK481" s="19"/>
      <c r="AL481" s="19"/>
      <c r="AM481" s="19"/>
    </row>
    <row r="482" spans="1:39" s="21" customFormat="1" ht="12" customHeight="1" x14ac:dyDescent="0.2">
      <c r="A482" s="15" t="s">
        <v>831</v>
      </c>
      <c r="B482" s="15"/>
      <c r="C482" s="15" t="s">
        <v>751</v>
      </c>
      <c r="D482" s="15"/>
      <c r="E482" s="76">
        <v>152572</v>
      </c>
      <c r="F482" s="76"/>
      <c r="G482" s="76">
        <v>977771</v>
      </c>
      <c r="H482" s="76"/>
      <c r="I482" s="76">
        <v>61485</v>
      </c>
      <c r="J482" s="76"/>
      <c r="K482" s="76">
        <v>30252</v>
      </c>
      <c r="L482" s="76"/>
      <c r="M482" s="76">
        <v>40068</v>
      </c>
      <c r="N482" s="76"/>
      <c r="O482" s="76">
        <v>191498</v>
      </c>
      <c r="P482" s="76"/>
      <c r="Q482" s="76">
        <v>1</v>
      </c>
      <c r="R482" s="76"/>
      <c r="S482" s="76">
        <v>35919</v>
      </c>
      <c r="T482" s="76"/>
      <c r="U482" s="76">
        <v>0</v>
      </c>
      <c r="V482" s="76"/>
      <c r="W482" s="76">
        <v>0</v>
      </c>
      <c r="X482" s="76"/>
      <c r="Y482" s="76">
        <v>0</v>
      </c>
      <c r="Z482" s="76"/>
      <c r="AA482" s="76">
        <v>0</v>
      </c>
      <c r="AB482" s="76"/>
      <c r="AC482" s="76">
        <v>0</v>
      </c>
      <c r="AD482" s="76"/>
      <c r="AE482" s="76">
        <v>0</v>
      </c>
      <c r="AF482" s="76"/>
      <c r="AG482" s="76">
        <v>0</v>
      </c>
      <c r="AH482" s="77"/>
      <c r="AI482" s="76">
        <f t="shared" si="7"/>
        <v>1489566</v>
      </c>
      <c r="AJ482" s="24"/>
      <c r="AK482" s="32"/>
      <c r="AL482" s="32"/>
      <c r="AM482" s="32"/>
    </row>
    <row r="483" spans="1:39" ht="12" customHeight="1" x14ac:dyDescent="0.2">
      <c r="A483" s="1" t="s">
        <v>314</v>
      </c>
      <c r="C483" s="1" t="s">
        <v>312</v>
      </c>
      <c r="E483" s="76">
        <v>7400</v>
      </c>
      <c r="F483" s="76"/>
      <c r="G483" s="76">
        <v>0</v>
      </c>
      <c r="H483" s="76"/>
      <c r="I483" s="76">
        <v>9212</v>
      </c>
      <c r="J483" s="76"/>
      <c r="K483" s="76">
        <v>0</v>
      </c>
      <c r="L483" s="76"/>
      <c r="M483" s="76">
        <v>0</v>
      </c>
      <c r="N483" s="76"/>
      <c r="O483" s="76">
        <v>30</v>
      </c>
      <c r="P483" s="76"/>
      <c r="Q483" s="76">
        <v>37</v>
      </c>
      <c r="R483" s="76"/>
      <c r="S483" s="76">
        <v>0</v>
      </c>
      <c r="T483" s="76"/>
      <c r="U483" s="76">
        <v>0</v>
      </c>
      <c r="V483" s="76"/>
      <c r="W483" s="76">
        <v>0</v>
      </c>
      <c r="X483" s="76"/>
      <c r="Y483" s="76">
        <v>0</v>
      </c>
      <c r="Z483" s="76"/>
      <c r="AA483" s="76">
        <v>0</v>
      </c>
      <c r="AB483" s="76"/>
      <c r="AC483" s="76">
        <v>0</v>
      </c>
      <c r="AD483" s="76"/>
      <c r="AE483" s="76">
        <v>0</v>
      </c>
      <c r="AF483" s="76"/>
      <c r="AG483" s="76">
        <v>0</v>
      </c>
      <c r="AH483" s="76"/>
      <c r="AI483" s="76">
        <f t="shared" si="7"/>
        <v>16679</v>
      </c>
      <c r="AJ483" s="10"/>
      <c r="AK483" s="22"/>
      <c r="AL483" s="22"/>
      <c r="AM483" s="22"/>
    </row>
    <row r="484" spans="1:39" ht="12" customHeight="1" x14ac:dyDescent="0.2">
      <c r="A484" s="1" t="s">
        <v>334</v>
      </c>
      <c r="C484" s="1" t="s">
        <v>329</v>
      </c>
      <c r="E484" s="76">
        <v>2672</v>
      </c>
      <c r="F484" s="76"/>
      <c r="G484" s="76">
        <v>21213</v>
      </c>
      <c r="H484" s="76"/>
      <c r="I484" s="76">
        <v>16004</v>
      </c>
      <c r="J484" s="76"/>
      <c r="K484" s="76">
        <v>0</v>
      </c>
      <c r="L484" s="76"/>
      <c r="M484" s="76">
        <v>14925</v>
      </c>
      <c r="N484" s="76"/>
      <c r="O484" s="76">
        <v>1412</v>
      </c>
      <c r="P484" s="76"/>
      <c r="Q484" s="76">
        <v>896</v>
      </c>
      <c r="R484" s="76"/>
      <c r="S484" s="76">
        <v>793</v>
      </c>
      <c r="T484" s="76"/>
      <c r="U484" s="76">
        <v>0</v>
      </c>
      <c r="V484" s="76"/>
      <c r="W484" s="76">
        <v>0</v>
      </c>
      <c r="X484" s="76"/>
      <c r="Y484" s="76">
        <v>0</v>
      </c>
      <c r="Z484" s="76"/>
      <c r="AA484" s="76">
        <v>0</v>
      </c>
      <c r="AB484" s="76"/>
      <c r="AC484" s="76">
        <v>0</v>
      </c>
      <c r="AD484" s="76"/>
      <c r="AE484" s="76">
        <v>0</v>
      </c>
      <c r="AF484" s="76"/>
      <c r="AG484" s="76">
        <v>0</v>
      </c>
      <c r="AH484" s="76"/>
      <c r="AI484" s="76">
        <f t="shared" si="7"/>
        <v>57915</v>
      </c>
      <c r="AJ484" s="10"/>
      <c r="AK484" s="7"/>
      <c r="AL484" s="7"/>
      <c r="AM484" s="7"/>
    </row>
    <row r="485" spans="1:39" s="21" customFormat="1" ht="12" customHeight="1" x14ac:dyDescent="0.2">
      <c r="A485" s="1" t="s">
        <v>551</v>
      </c>
      <c r="B485" s="1"/>
      <c r="C485" s="1" t="s">
        <v>549</v>
      </c>
      <c r="D485" s="1"/>
      <c r="E485" s="76">
        <v>614777</v>
      </c>
      <c r="F485" s="76"/>
      <c r="G485" s="76">
        <v>1029198</v>
      </c>
      <c r="H485" s="76"/>
      <c r="I485" s="76">
        <v>184370</v>
      </c>
      <c r="J485" s="76"/>
      <c r="K485" s="76">
        <v>0</v>
      </c>
      <c r="L485" s="76"/>
      <c r="M485" s="76">
        <v>0</v>
      </c>
      <c r="N485" s="76"/>
      <c r="O485" s="76">
        <v>35776</v>
      </c>
      <c r="P485" s="76"/>
      <c r="Q485" s="76">
        <v>0</v>
      </c>
      <c r="R485" s="76"/>
      <c r="S485" s="76">
        <v>13558</v>
      </c>
      <c r="T485" s="76"/>
      <c r="U485" s="76">
        <v>0</v>
      </c>
      <c r="V485" s="76"/>
      <c r="W485" s="76">
        <v>0</v>
      </c>
      <c r="X485" s="76"/>
      <c r="Y485" s="76">
        <v>0</v>
      </c>
      <c r="Z485" s="76"/>
      <c r="AA485" s="76">
        <v>0</v>
      </c>
      <c r="AB485" s="76"/>
      <c r="AC485" s="76">
        <v>0</v>
      </c>
      <c r="AD485" s="76"/>
      <c r="AE485" s="76">
        <v>0</v>
      </c>
      <c r="AF485" s="76"/>
      <c r="AG485" s="76">
        <v>0</v>
      </c>
      <c r="AH485" s="76"/>
      <c r="AI485" s="76">
        <f t="shared" si="7"/>
        <v>1877679</v>
      </c>
      <c r="AJ485" s="10"/>
      <c r="AK485" s="1"/>
      <c r="AL485" s="1"/>
      <c r="AM485" s="1"/>
    </row>
    <row r="486" spans="1:39" ht="12" customHeight="1" x14ac:dyDescent="0.2">
      <c r="A486" s="1" t="s">
        <v>176</v>
      </c>
      <c r="C486" s="1" t="s">
        <v>789</v>
      </c>
      <c r="E486" s="76">
        <v>11687.5</v>
      </c>
      <c r="F486" s="76"/>
      <c r="G486" s="76">
        <v>0</v>
      </c>
      <c r="H486" s="76"/>
      <c r="I486" s="76">
        <v>8580.1</v>
      </c>
      <c r="J486" s="76"/>
      <c r="K486" s="76">
        <v>0</v>
      </c>
      <c r="L486" s="76"/>
      <c r="M486" s="76">
        <v>0</v>
      </c>
      <c r="N486" s="76"/>
      <c r="O486" s="76">
        <v>0</v>
      </c>
      <c r="P486" s="76"/>
      <c r="Q486" s="76">
        <v>37.659999999999997</v>
      </c>
      <c r="R486" s="76"/>
      <c r="S486" s="76">
        <v>892.87</v>
      </c>
      <c r="T486" s="76"/>
      <c r="U486" s="76">
        <v>0</v>
      </c>
      <c r="V486" s="76"/>
      <c r="W486" s="76">
        <v>0</v>
      </c>
      <c r="X486" s="76"/>
      <c r="Y486" s="76">
        <v>20</v>
      </c>
      <c r="Z486" s="76"/>
      <c r="AA486" s="76">
        <v>0</v>
      </c>
      <c r="AB486" s="76"/>
      <c r="AC486" s="76">
        <v>0</v>
      </c>
      <c r="AD486" s="76"/>
      <c r="AE486" s="76">
        <v>0</v>
      </c>
      <c r="AF486" s="76"/>
      <c r="AG486" s="76">
        <v>0</v>
      </c>
      <c r="AH486"/>
      <c r="AI486" s="76">
        <f t="shared" si="7"/>
        <v>21218.129999999997</v>
      </c>
      <c r="AJ486" s="10"/>
    </row>
    <row r="487" spans="1:39" ht="12" customHeight="1" x14ac:dyDescent="0.2">
      <c r="A487" s="15" t="s">
        <v>494</v>
      </c>
      <c r="B487" s="15"/>
      <c r="C487" s="15" t="s">
        <v>207</v>
      </c>
      <c r="D487" s="15"/>
      <c r="E487" s="76">
        <v>139420</v>
      </c>
      <c r="F487" s="76"/>
      <c r="G487" s="76">
        <v>639168</v>
      </c>
      <c r="H487" s="76"/>
      <c r="I487" s="76">
        <v>173713</v>
      </c>
      <c r="J487" s="76"/>
      <c r="K487" s="76">
        <v>0</v>
      </c>
      <c r="L487" s="76"/>
      <c r="M487" s="76">
        <v>104399</v>
      </c>
      <c r="N487" s="76"/>
      <c r="O487" s="76">
        <v>6000</v>
      </c>
      <c r="P487" s="76"/>
      <c r="Q487" s="76">
        <v>75473</v>
      </c>
      <c r="R487" s="76"/>
      <c r="S487" s="76">
        <v>107779</v>
      </c>
      <c r="T487" s="76"/>
      <c r="U487" s="76">
        <v>0</v>
      </c>
      <c r="V487" s="76"/>
      <c r="W487" s="76">
        <v>0</v>
      </c>
      <c r="X487" s="76"/>
      <c r="Y487" s="76">
        <v>1258</v>
      </c>
      <c r="Z487" s="76"/>
      <c r="AA487" s="76">
        <v>0</v>
      </c>
      <c r="AB487" s="76"/>
      <c r="AC487" s="76">
        <v>0</v>
      </c>
      <c r="AD487" s="76"/>
      <c r="AE487" s="76">
        <v>0</v>
      </c>
      <c r="AF487" s="76"/>
      <c r="AG487" s="76">
        <v>0</v>
      </c>
      <c r="AH487" s="77"/>
      <c r="AI487" s="76">
        <f t="shared" si="7"/>
        <v>1247210</v>
      </c>
      <c r="AJ487" s="24"/>
      <c r="AK487" s="15"/>
      <c r="AL487" s="15"/>
      <c r="AM487" s="15"/>
    </row>
    <row r="488" spans="1:39" s="21" customFormat="1" ht="12" customHeight="1" x14ac:dyDescent="0.2">
      <c r="A488" s="1" t="s">
        <v>114</v>
      </c>
      <c r="B488" s="1"/>
      <c r="C488" s="1" t="s">
        <v>663</v>
      </c>
      <c r="D488" s="1"/>
      <c r="E488" s="76">
        <v>131553.76</v>
      </c>
      <c r="F488" s="76"/>
      <c r="G488" s="76">
        <v>0</v>
      </c>
      <c r="H488" s="76"/>
      <c r="I488" s="76">
        <v>168924.77</v>
      </c>
      <c r="J488" s="76"/>
      <c r="K488" s="76">
        <v>0</v>
      </c>
      <c r="L488" s="76"/>
      <c r="M488" s="76">
        <v>2120.2800000000002</v>
      </c>
      <c r="N488" s="76"/>
      <c r="O488" s="76">
        <v>15878</v>
      </c>
      <c r="P488" s="76"/>
      <c r="Q488" s="76">
        <v>2900.17</v>
      </c>
      <c r="R488" s="76"/>
      <c r="S488" s="76">
        <v>5</v>
      </c>
      <c r="T488" s="76"/>
      <c r="U488" s="76">
        <v>0</v>
      </c>
      <c r="V488" s="76"/>
      <c r="W488" s="76">
        <v>0</v>
      </c>
      <c r="X488" s="76"/>
      <c r="Y488" s="76">
        <v>0</v>
      </c>
      <c r="Z488" s="76"/>
      <c r="AA488" s="76">
        <v>0</v>
      </c>
      <c r="AB488" s="76"/>
      <c r="AC488" s="76">
        <v>50700</v>
      </c>
      <c r="AD488" s="76"/>
      <c r="AE488" s="76">
        <v>2630</v>
      </c>
      <c r="AF488" s="76"/>
      <c r="AG488" s="76">
        <v>13899</v>
      </c>
      <c r="AH488"/>
      <c r="AI488" s="76">
        <f t="shared" si="7"/>
        <v>388610.98000000004</v>
      </c>
      <c r="AJ488" s="10"/>
      <c r="AK488" s="1"/>
      <c r="AL488" s="1"/>
      <c r="AM488" s="1"/>
    </row>
    <row r="489" spans="1:39" s="21" customFormat="1" ht="12" customHeight="1" x14ac:dyDescent="0.2">
      <c r="A489" s="1" t="s">
        <v>325</v>
      </c>
      <c r="B489" s="1"/>
      <c r="C489" s="1" t="s">
        <v>316</v>
      </c>
      <c r="D489" s="1"/>
      <c r="E489" s="76">
        <v>305618</v>
      </c>
      <c r="F489" s="76"/>
      <c r="G489" s="76">
        <v>5499518</v>
      </c>
      <c r="H489" s="76"/>
      <c r="I489" s="76">
        <v>672637</v>
      </c>
      <c r="J489" s="76"/>
      <c r="K489" s="76">
        <v>0</v>
      </c>
      <c r="L489" s="76"/>
      <c r="M489" s="76">
        <v>17798</v>
      </c>
      <c r="N489" s="76"/>
      <c r="O489" s="76">
        <v>474317</v>
      </c>
      <c r="P489" s="76"/>
      <c r="Q489" s="76">
        <v>0</v>
      </c>
      <c r="R489" s="76"/>
      <c r="S489" s="76">
        <v>310583</v>
      </c>
      <c r="T489" s="76"/>
      <c r="U489" s="76">
        <v>0</v>
      </c>
      <c r="V489" s="76"/>
      <c r="W489" s="76">
        <v>0</v>
      </c>
      <c r="X489" s="76"/>
      <c r="Y489" s="76">
        <v>0</v>
      </c>
      <c r="Z489" s="76"/>
      <c r="AA489" s="76">
        <v>0</v>
      </c>
      <c r="AB489" s="76"/>
      <c r="AC489" s="76">
        <v>0</v>
      </c>
      <c r="AD489" s="76"/>
      <c r="AE489" s="76">
        <v>0</v>
      </c>
      <c r="AF489" s="76"/>
      <c r="AG489" s="76">
        <v>0</v>
      </c>
      <c r="AH489" s="76"/>
      <c r="AI489" s="76">
        <f t="shared" si="7"/>
        <v>7280471</v>
      </c>
      <c r="AJ489" s="10"/>
      <c r="AK489" s="22"/>
      <c r="AL489" s="22"/>
      <c r="AM489" s="22"/>
    </row>
    <row r="490" spans="1:39" s="21" customFormat="1" ht="12" customHeight="1" x14ac:dyDescent="0.2">
      <c r="A490" s="1" t="s">
        <v>325</v>
      </c>
      <c r="B490" s="1"/>
      <c r="C490" s="1" t="s">
        <v>496</v>
      </c>
      <c r="D490" s="1"/>
      <c r="E490" s="76">
        <v>7180</v>
      </c>
      <c r="F490" s="76"/>
      <c r="G490" s="76">
        <v>49391</v>
      </c>
      <c r="H490" s="76"/>
      <c r="I490" s="76">
        <v>32629</v>
      </c>
      <c r="J490" s="76"/>
      <c r="K490" s="76">
        <v>0</v>
      </c>
      <c r="L490" s="76"/>
      <c r="M490" s="76">
        <v>0</v>
      </c>
      <c r="N490" s="76"/>
      <c r="O490" s="76">
        <v>1722</v>
      </c>
      <c r="P490" s="76"/>
      <c r="Q490" s="76">
        <v>1211</v>
      </c>
      <c r="R490" s="76"/>
      <c r="S490" s="76">
        <v>10933</v>
      </c>
      <c r="T490" s="76"/>
      <c r="U490" s="76">
        <v>0</v>
      </c>
      <c r="V490" s="76"/>
      <c r="W490" s="76">
        <v>0</v>
      </c>
      <c r="X490" s="76"/>
      <c r="Y490" s="76">
        <v>0</v>
      </c>
      <c r="Z490" s="76"/>
      <c r="AA490" s="76">
        <v>0</v>
      </c>
      <c r="AB490" s="76"/>
      <c r="AC490" s="76">
        <v>0</v>
      </c>
      <c r="AD490" s="76"/>
      <c r="AE490" s="76">
        <v>34013</v>
      </c>
      <c r="AF490" s="76"/>
      <c r="AG490" s="76">
        <v>0</v>
      </c>
      <c r="AH490" s="76"/>
      <c r="AI490" s="76">
        <f t="shared" si="7"/>
        <v>137079</v>
      </c>
      <c r="AJ490" s="10"/>
      <c r="AK490" s="1"/>
      <c r="AL490" s="1"/>
      <c r="AM490" s="1"/>
    </row>
    <row r="491" spans="1:39" s="21" customFormat="1" ht="12" customHeight="1" x14ac:dyDescent="0.2">
      <c r="A491" s="37" t="s">
        <v>75</v>
      </c>
      <c r="B491" s="37"/>
      <c r="C491" s="37" t="s">
        <v>353</v>
      </c>
      <c r="D491" s="36"/>
      <c r="E491" s="76">
        <v>231897.28</v>
      </c>
      <c r="F491" s="76"/>
      <c r="G491" s="76">
        <v>4126513.27</v>
      </c>
      <c r="H491" s="76"/>
      <c r="I491" s="76">
        <v>1155895</v>
      </c>
      <c r="J491" s="76"/>
      <c r="K491" s="76">
        <v>30002.48</v>
      </c>
      <c r="L491" s="76"/>
      <c r="M491" s="76">
        <v>313396.28999999998</v>
      </c>
      <c r="N491" s="76"/>
      <c r="O491" s="76">
        <v>153437.65</v>
      </c>
      <c r="P491" s="76"/>
      <c r="Q491" s="76">
        <v>22913.19</v>
      </c>
      <c r="R491" s="76"/>
      <c r="S491" s="76">
        <v>115838.13</v>
      </c>
      <c r="T491" s="76"/>
      <c r="U491" s="76">
        <v>0</v>
      </c>
      <c r="V491" s="76"/>
      <c r="W491" s="76">
        <v>0</v>
      </c>
      <c r="X491" s="76"/>
      <c r="Y491" s="76">
        <v>0</v>
      </c>
      <c r="Z491" s="76"/>
      <c r="AA491" s="76">
        <v>0</v>
      </c>
      <c r="AB491" s="76"/>
      <c r="AC491" s="76">
        <v>0</v>
      </c>
      <c r="AD491" s="76"/>
      <c r="AE491" s="76">
        <v>0</v>
      </c>
      <c r="AF491" s="76"/>
      <c r="AG491" s="76">
        <v>0</v>
      </c>
      <c r="AH491" s="81"/>
      <c r="AI491" s="76">
        <f t="shared" si="7"/>
        <v>6149893.290000001</v>
      </c>
      <c r="AJ491" s="36"/>
      <c r="AK491" s="39"/>
      <c r="AL491" s="39"/>
      <c r="AM491" s="39"/>
    </row>
    <row r="492" spans="1:39" s="21" customFormat="1" ht="12" customHeight="1" x14ac:dyDescent="0.2">
      <c r="A492" s="1" t="s">
        <v>71</v>
      </c>
      <c r="B492" s="1"/>
      <c r="C492" s="1" t="s">
        <v>757</v>
      </c>
      <c r="D492" s="1"/>
      <c r="E492" s="76">
        <v>31443.9</v>
      </c>
      <c r="F492" s="76"/>
      <c r="G492" s="76">
        <v>39294.129999999997</v>
      </c>
      <c r="H492" s="76"/>
      <c r="I492" s="76">
        <v>2316.42</v>
      </c>
      <c r="J492" s="76"/>
      <c r="K492" s="76">
        <v>0</v>
      </c>
      <c r="L492" s="76"/>
      <c r="M492" s="76">
        <v>0</v>
      </c>
      <c r="N492" s="76"/>
      <c r="O492" s="76">
        <v>297</v>
      </c>
      <c r="P492" s="76"/>
      <c r="Q492" s="76">
        <v>27.37</v>
      </c>
      <c r="R492" s="76"/>
      <c r="S492" s="76">
        <v>922</v>
      </c>
      <c r="T492" s="76"/>
      <c r="U492" s="76">
        <v>0</v>
      </c>
      <c r="V492" s="76"/>
      <c r="W492" s="76">
        <v>0</v>
      </c>
      <c r="X492" s="76"/>
      <c r="Y492" s="76">
        <v>0</v>
      </c>
      <c r="Z492" s="76"/>
      <c r="AA492" s="76">
        <v>0</v>
      </c>
      <c r="AB492" s="76"/>
      <c r="AC492" s="76">
        <v>4000</v>
      </c>
      <c r="AD492" s="76"/>
      <c r="AE492" s="76">
        <v>0</v>
      </c>
      <c r="AF492" s="76"/>
      <c r="AG492" s="76">
        <v>0</v>
      </c>
      <c r="AH492"/>
      <c r="AI492" s="76">
        <f t="shared" si="7"/>
        <v>78300.819999999992</v>
      </c>
      <c r="AJ492" s="10"/>
      <c r="AK492" s="7"/>
      <c r="AL492" s="7"/>
      <c r="AM492" s="7"/>
    </row>
    <row r="493" spans="1:39" ht="12" customHeight="1" x14ac:dyDescent="0.2">
      <c r="A493" s="1" t="s">
        <v>573</v>
      </c>
      <c r="C493" s="1" t="s">
        <v>572</v>
      </c>
      <c r="E493" s="76">
        <v>52759</v>
      </c>
      <c r="F493" s="76"/>
      <c r="G493" s="76">
        <v>62094</v>
      </c>
      <c r="H493" s="76"/>
      <c r="I493" s="76">
        <v>33120</v>
      </c>
      <c r="J493" s="76"/>
      <c r="K493" s="76">
        <v>0</v>
      </c>
      <c r="L493" s="76"/>
      <c r="M493" s="76">
        <v>0</v>
      </c>
      <c r="N493" s="76"/>
      <c r="O493" s="76">
        <v>6157</v>
      </c>
      <c r="P493" s="76"/>
      <c r="Q493" s="76">
        <v>177</v>
      </c>
      <c r="R493" s="76"/>
      <c r="S493" s="76">
        <v>36633</v>
      </c>
      <c r="T493" s="76"/>
      <c r="U493" s="76">
        <v>0</v>
      </c>
      <c r="V493" s="76"/>
      <c r="W493" s="76">
        <v>0</v>
      </c>
      <c r="X493" s="76"/>
      <c r="Y493" s="76">
        <v>0</v>
      </c>
      <c r="Z493" s="76"/>
      <c r="AA493" s="76">
        <v>6672</v>
      </c>
      <c r="AB493" s="76"/>
      <c r="AC493" s="76">
        <v>0</v>
      </c>
      <c r="AD493" s="76"/>
      <c r="AE493" s="76">
        <v>0</v>
      </c>
      <c r="AF493" s="76"/>
      <c r="AG493" s="76">
        <v>0</v>
      </c>
      <c r="AH493" s="76"/>
      <c r="AI493" s="76">
        <f t="shared" si="7"/>
        <v>197612</v>
      </c>
      <c r="AJ493" s="10"/>
    </row>
    <row r="494" spans="1:39" ht="12" customHeight="1" x14ac:dyDescent="0.2">
      <c r="A494" s="1" t="s">
        <v>951</v>
      </c>
      <c r="C494" s="1" t="s">
        <v>375</v>
      </c>
      <c r="E494" s="76">
        <v>17562.97</v>
      </c>
      <c r="F494" s="76"/>
      <c r="G494" s="76">
        <v>0</v>
      </c>
      <c r="H494" s="76"/>
      <c r="I494" s="76">
        <v>17924.400000000001</v>
      </c>
      <c r="J494" s="76"/>
      <c r="K494" s="76">
        <v>0</v>
      </c>
      <c r="L494" s="76"/>
      <c r="M494" s="76">
        <v>0</v>
      </c>
      <c r="N494" s="76"/>
      <c r="O494" s="76">
        <v>0</v>
      </c>
      <c r="P494" s="76"/>
      <c r="Q494" s="76">
        <v>431.55</v>
      </c>
      <c r="R494" s="76"/>
      <c r="S494" s="76">
        <v>10841.4</v>
      </c>
      <c r="T494" s="76"/>
      <c r="U494" s="76">
        <v>0</v>
      </c>
      <c r="V494" s="76"/>
      <c r="W494" s="76">
        <v>0</v>
      </c>
      <c r="X494" s="76"/>
      <c r="Y494" s="76">
        <v>0</v>
      </c>
      <c r="Z494" s="76"/>
      <c r="AA494" s="76">
        <v>0</v>
      </c>
      <c r="AB494" s="76"/>
      <c r="AC494" s="76">
        <v>0</v>
      </c>
      <c r="AD494" s="76"/>
      <c r="AE494" s="76">
        <v>0</v>
      </c>
      <c r="AF494" s="76"/>
      <c r="AG494" s="76">
        <v>0</v>
      </c>
      <c r="AH494" s="81"/>
      <c r="AI494" s="76">
        <f t="shared" si="7"/>
        <v>46760.320000000007</v>
      </c>
      <c r="AJ494" s="10"/>
    </row>
    <row r="495" spans="1:39" ht="12" customHeight="1" x14ac:dyDescent="0.2">
      <c r="A495" s="1" t="s">
        <v>905</v>
      </c>
      <c r="C495" s="1" t="s">
        <v>316</v>
      </c>
      <c r="E495" s="76">
        <v>926575</v>
      </c>
      <c r="F495" s="76"/>
      <c r="G495" s="76">
        <v>3131969</v>
      </c>
      <c r="H495" s="76"/>
      <c r="I495" s="76">
        <v>928461</v>
      </c>
      <c r="J495" s="76"/>
      <c r="K495" s="76">
        <v>0</v>
      </c>
      <c r="L495" s="76"/>
      <c r="M495" s="76">
        <v>231828</v>
      </c>
      <c r="N495" s="76"/>
      <c r="O495" s="76">
        <v>123479</v>
      </c>
      <c r="P495" s="76"/>
      <c r="Q495" s="76">
        <v>48049</v>
      </c>
      <c r="R495" s="76"/>
      <c r="S495" s="76">
        <v>83245</v>
      </c>
      <c r="T495" s="76"/>
      <c r="U495" s="76">
        <v>0</v>
      </c>
      <c r="V495" s="76"/>
      <c r="W495" s="76">
        <v>0</v>
      </c>
      <c r="X495" s="76"/>
      <c r="Y495" s="76">
        <v>0</v>
      </c>
      <c r="Z495" s="76"/>
      <c r="AA495" s="76">
        <v>0</v>
      </c>
      <c r="AB495" s="76"/>
      <c r="AC495" s="76">
        <v>0</v>
      </c>
      <c r="AD495" s="76"/>
      <c r="AE495" s="76">
        <v>0</v>
      </c>
      <c r="AF495" s="76"/>
      <c r="AG495" s="76">
        <v>0</v>
      </c>
      <c r="AH495" s="76"/>
      <c r="AI495" s="76">
        <f t="shared" si="7"/>
        <v>5473606</v>
      </c>
      <c r="AJ495" s="10"/>
    </row>
    <row r="496" spans="1:39" ht="12" customHeight="1" x14ac:dyDescent="0.2">
      <c r="A496" s="1" t="s">
        <v>229</v>
      </c>
      <c r="C496" s="1" t="s">
        <v>805</v>
      </c>
      <c r="E496" s="76">
        <v>12208.78</v>
      </c>
      <c r="F496" s="76"/>
      <c r="G496" s="76">
        <v>0</v>
      </c>
      <c r="H496" s="76"/>
      <c r="I496" s="76">
        <v>5405.22</v>
      </c>
      <c r="J496" s="76"/>
      <c r="K496" s="76">
        <v>0</v>
      </c>
      <c r="L496" s="76"/>
      <c r="M496" s="76">
        <v>0</v>
      </c>
      <c r="N496" s="76"/>
      <c r="O496" s="76">
        <v>167</v>
      </c>
      <c r="P496" s="76"/>
      <c r="Q496" s="76">
        <v>25.3</v>
      </c>
      <c r="R496" s="76"/>
      <c r="S496" s="76">
        <v>2637.99</v>
      </c>
      <c r="T496" s="76"/>
      <c r="U496" s="76">
        <v>0</v>
      </c>
      <c r="V496" s="76"/>
      <c r="W496" s="76">
        <v>0</v>
      </c>
      <c r="X496" s="76"/>
      <c r="Y496" s="76">
        <v>0</v>
      </c>
      <c r="Z496" s="76"/>
      <c r="AA496" s="76">
        <v>0</v>
      </c>
      <c r="AB496" s="76"/>
      <c r="AC496" s="76">
        <v>0</v>
      </c>
      <c r="AD496" s="76"/>
      <c r="AE496" s="76">
        <v>0</v>
      </c>
      <c r="AF496" s="76"/>
      <c r="AG496" s="76">
        <v>0</v>
      </c>
      <c r="AH496" s="81"/>
      <c r="AI496" s="76">
        <f t="shared" si="7"/>
        <v>20444.29</v>
      </c>
      <c r="AJ496" s="10"/>
    </row>
    <row r="497" spans="1:39" ht="12" customHeight="1" x14ac:dyDescent="0.2">
      <c r="A497" s="1" t="s">
        <v>190</v>
      </c>
      <c r="C497" s="1" t="s">
        <v>793</v>
      </c>
      <c r="E497" s="76">
        <v>3774.4</v>
      </c>
      <c r="F497" s="76"/>
      <c r="G497" s="76">
        <v>0</v>
      </c>
      <c r="H497" s="76"/>
      <c r="I497" s="76">
        <v>16072.55</v>
      </c>
      <c r="J497" s="76"/>
      <c r="K497" s="76">
        <v>0</v>
      </c>
      <c r="L497" s="76"/>
      <c r="M497" s="76">
        <v>0</v>
      </c>
      <c r="N497" s="76"/>
      <c r="O497" s="76">
        <v>2820.57</v>
      </c>
      <c r="P497" s="76"/>
      <c r="Q497" s="76">
        <v>12.51</v>
      </c>
      <c r="R497" s="76"/>
      <c r="S497" s="76">
        <v>103.82</v>
      </c>
      <c r="T497" s="76"/>
      <c r="U497" s="76">
        <v>0</v>
      </c>
      <c r="V497" s="76"/>
      <c r="W497" s="76">
        <v>0</v>
      </c>
      <c r="X497" s="76"/>
      <c r="Y497" s="76">
        <v>0</v>
      </c>
      <c r="Z497" s="76"/>
      <c r="AA497" s="76">
        <v>0</v>
      </c>
      <c r="AB497" s="76"/>
      <c r="AC497" s="76">
        <v>3348.78</v>
      </c>
      <c r="AD497" s="76"/>
      <c r="AE497" s="76">
        <v>0</v>
      </c>
      <c r="AF497" s="76"/>
      <c r="AG497" s="76">
        <v>0</v>
      </c>
      <c r="AH497"/>
      <c r="AI497" s="76">
        <f t="shared" si="7"/>
        <v>26132.629999999997</v>
      </c>
      <c r="AJ497" s="10"/>
    </row>
    <row r="498" spans="1:39" ht="12" customHeight="1" x14ac:dyDescent="0.2">
      <c r="A498" s="1" t="s">
        <v>675</v>
      </c>
      <c r="C498" s="1" t="s">
        <v>671</v>
      </c>
      <c r="E498" s="76">
        <v>1491240</v>
      </c>
      <c r="F498" s="76"/>
      <c r="G498" s="76">
        <v>0</v>
      </c>
      <c r="H498" s="76"/>
      <c r="I498" s="76">
        <v>73953</v>
      </c>
      <c r="J498" s="76"/>
      <c r="K498" s="76">
        <v>0</v>
      </c>
      <c r="L498" s="76"/>
      <c r="M498" s="76">
        <v>0</v>
      </c>
      <c r="N498" s="76"/>
      <c r="O498" s="76">
        <v>4340</v>
      </c>
      <c r="P498" s="76"/>
      <c r="Q498" s="76">
        <v>2</v>
      </c>
      <c r="R498" s="76"/>
      <c r="S498" s="76">
        <v>795</v>
      </c>
      <c r="T498" s="76"/>
      <c r="U498" s="76">
        <v>0</v>
      </c>
      <c r="V498" s="76"/>
      <c r="W498" s="76">
        <v>0</v>
      </c>
      <c r="X498" s="76"/>
      <c r="Y498" s="76">
        <v>0</v>
      </c>
      <c r="Z498" s="76"/>
      <c r="AA498" s="76">
        <v>22970</v>
      </c>
      <c r="AB498" s="76"/>
      <c r="AC498" s="76">
        <v>0</v>
      </c>
      <c r="AD498" s="76"/>
      <c r="AE498" s="76">
        <v>0</v>
      </c>
      <c r="AF498" s="76"/>
      <c r="AG498" s="76">
        <v>0</v>
      </c>
      <c r="AH498" s="82"/>
      <c r="AI498" s="76">
        <f t="shared" si="7"/>
        <v>1593300</v>
      </c>
      <c r="AJ498" s="10"/>
      <c r="AK498" s="22"/>
      <c r="AL498" s="22"/>
      <c r="AM498" s="22"/>
    </row>
    <row r="499" spans="1:39" ht="12" customHeight="1" x14ac:dyDescent="0.2">
      <c r="A499" s="1" t="s">
        <v>335</v>
      </c>
      <c r="C499" s="1" t="s">
        <v>329</v>
      </c>
      <c r="E499" s="76">
        <v>8087</v>
      </c>
      <c r="F499" s="76"/>
      <c r="G499" s="76">
        <v>67049</v>
      </c>
      <c r="H499" s="76"/>
      <c r="I499" s="76">
        <v>23454</v>
      </c>
      <c r="J499" s="76"/>
      <c r="K499" s="76">
        <v>31221</v>
      </c>
      <c r="L499" s="76"/>
      <c r="M499" s="76">
        <v>0</v>
      </c>
      <c r="N499" s="76"/>
      <c r="O499" s="76">
        <v>1456</v>
      </c>
      <c r="P499" s="76"/>
      <c r="Q499" s="76">
        <v>624</v>
      </c>
      <c r="R499" s="76"/>
      <c r="S499" s="76">
        <v>23138</v>
      </c>
      <c r="T499" s="76"/>
      <c r="U499" s="76">
        <v>0</v>
      </c>
      <c r="V499" s="76"/>
      <c r="W499" s="76">
        <v>0</v>
      </c>
      <c r="X499" s="76"/>
      <c r="Y499" s="76">
        <v>0</v>
      </c>
      <c r="Z499" s="76"/>
      <c r="AA499" s="76">
        <v>1666</v>
      </c>
      <c r="AB499" s="76"/>
      <c r="AC499" s="76">
        <v>0</v>
      </c>
      <c r="AD499" s="76"/>
      <c r="AE499" s="76">
        <v>0</v>
      </c>
      <c r="AF499" s="76"/>
      <c r="AG499" s="76">
        <v>0</v>
      </c>
      <c r="AH499" s="76"/>
      <c r="AI499" s="76">
        <f t="shared" si="7"/>
        <v>156695</v>
      </c>
      <c r="AJ499" s="10"/>
      <c r="AK499" s="7"/>
      <c r="AL499" s="7"/>
      <c r="AM499" s="7"/>
    </row>
    <row r="500" spans="1:39" ht="12" customHeight="1" x14ac:dyDescent="0.2">
      <c r="A500" s="1" t="s">
        <v>344</v>
      </c>
      <c r="C500" s="1" t="s">
        <v>343</v>
      </c>
      <c r="E500" s="76">
        <v>18633</v>
      </c>
      <c r="F500" s="76"/>
      <c r="G500" s="76">
        <v>0</v>
      </c>
      <c r="H500" s="76"/>
      <c r="I500" s="76">
        <v>49905</v>
      </c>
      <c r="J500" s="76"/>
      <c r="K500" s="76">
        <v>0</v>
      </c>
      <c r="L500" s="76"/>
      <c r="M500" s="76">
        <v>0</v>
      </c>
      <c r="N500" s="76"/>
      <c r="O500" s="76">
        <f>5049+1</f>
        <v>5050</v>
      </c>
      <c r="P500" s="76"/>
      <c r="Q500" s="76">
        <v>927</v>
      </c>
      <c r="R500" s="76"/>
      <c r="S500" s="76">
        <v>0</v>
      </c>
      <c r="T500" s="76"/>
      <c r="U500" s="76">
        <v>0</v>
      </c>
      <c r="V500" s="76"/>
      <c r="W500" s="76">
        <v>0</v>
      </c>
      <c r="X500" s="76"/>
      <c r="Y500" s="76">
        <v>0</v>
      </c>
      <c r="Z500" s="76"/>
      <c r="AA500" s="76">
        <v>0</v>
      </c>
      <c r="AB500" s="76"/>
      <c r="AC500" s="76">
        <v>0</v>
      </c>
      <c r="AD500" s="76"/>
      <c r="AE500" s="76">
        <v>0</v>
      </c>
      <c r="AF500" s="76"/>
      <c r="AG500" s="76">
        <v>0</v>
      </c>
      <c r="AH500" s="76"/>
      <c r="AI500" s="76">
        <f t="shared" si="7"/>
        <v>74515</v>
      </c>
      <c r="AJ500" s="10"/>
      <c r="AK500" s="22"/>
      <c r="AL500" s="22"/>
      <c r="AM500" s="22"/>
    </row>
    <row r="501" spans="1:39" s="21" customFormat="1" ht="12" customHeight="1" x14ac:dyDescent="0.2">
      <c r="A501" s="1" t="s">
        <v>207</v>
      </c>
      <c r="B501" s="1"/>
      <c r="C501" s="1" t="s">
        <v>797</v>
      </c>
      <c r="D501" s="1"/>
      <c r="E501" s="76">
        <v>222438.53</v>
      </c>
      <c r="F501" s="76"/>
      <c r="G501" s="76">
        <v>0</v>
      </c>
      <c r="H501" s="76"/>
      <c r="I501" s="76">
        <v>138466.71</v>
      </c>
      <c r="J501" s="76"/>
      <c r="K501" s="76">
        <v>0</v>
      </c>
      <c r="L501" s="76"/>
      <c r="M501" s="76">
        <v>52828.04</v>
      </c>
      <c r="N501" s="76"/>
      <c r="O501" s="76">
        <v>42702.62</v>
      </c>
      <c r="P501" s="76"/>
      <c r="Q501" s="76">
        <v>27438.09</v>
      </c>
      <c r="R501" s="76"/>
      <c r="S501" s="76">
        <v>91328.12</v>
      </c>
      <c r="T501" s="76"/>
      <c r="U501" s="76">
        <v>0</v>
      </c>
      <c r="V501" s="76"/>
      <c r="W501" s="76">
        <v>0</v>
      </c>
      <c r="X501" s="76"/>
      <c r="Y501" s="76">
        <v>0</v>
      </c>
      <c r="Z501" s="76"/>
      <c r="AA501" s="76">
        <v>0</v>
      </c>
      <c r="AB501" s="76"/>
      <c r="AC501" s="76">
        <v>0</v>
      </c>
      <c r="AD501" s="76"/>
      <c r="AE501" s="76">
        <v>0</v>
      </c>
      <c r="AF501" s="76"/>
      <c r="AG501" s="76">
        <v>0</v>
      </c>
      <c r="AH501"/>
      <c r="AI501" s="76">
        <f t="shared" si="7"/>
        <v>575202.11</v>
      </c>
      <c r="AJ501" s="10"/>
      <c r="AK501" s="1"/>
      <c r="AL501" s="1"/>
      <c r="AM501" s="1"/>
    </row>
    <row r="502" spans="1:39" s="21" customFormat="1" ht="12" customHeight="1" x14ac:dyDescent="0.2">
      <c r="A502" s="1" t="s">
        <v>456</v>
      </c>
      <c r="B502" s="1"/>
      <c r="C502" s="1" t="s">
        <v>455</v>
      </c>
      <c r="D502" s="1"/>
      <c r="E502" s="76">
        <v>497660</v>
      </c>
      <c r="F502" s="76"/>
      <c r="G502" s="76">
        <v>3885567</v>
      </c>
      <c r="H502" s="76"/>
      <c r="I502" s="76">
        <v>837011</v>
      </c>
      <c r="J502" s="76"/>
      <c r="K502" s="76">
        <v>0</v>
      </c>
      <c r="L502" s="76"/>
      <c r="M502" s="76">
        <v>143052</v>
      </c>
      <c r="N502" s="76"/>
      <c r="O502" s="76">
        <v>65836</v>
      </c>
      <c r="P502" s="76"/>
      <c r="Q502" s="76">
        <v>60279</v>
      </c>
      <c r="R502" s="76"/>
      <c r="S502" s="76">
        <v>188877</v>
      </c>
      <c r="T502" s="76"/>
      <c r="U502" s="76">
        <v>0</v>
      </c>
      <c r="V502" s="76"/>
      <c r="W502" s="76">
        <v>0</v>
      </c>
      <c r="X502" s="76"/>
      <c r="Y502" s="76">
        <v>0</v>
      </c>
      <c r="Z502" s="76"/>
      <c r="AA502" s="76">
        <v>0</v>
      </c>
      <c r="AB502" s="76"/>
      <c r="AC502" s="76">
        <v>0</v>
      </c>
      <c r="AD502" s="76"/>
      <c r="AE502" s="76">
        <v>0</v>
      </c>
      <c r="AF502" s="76"/>
      <c r="AG502" s="76">
        <v>0</v>
      </c>
      <c r="AH502" s="76"/>
      <c r="AI502" s="76">
        <f t="shared" si="7"/>
        <v>5678282</v>
      </c>
      <c r="AJ502" s="10"/>
      <c r="AK502" s="1"/>
      <c r="AL502" s="1"/>
      <c r="AM502" s="1"/>
    </row>
    <row r="503" spans="1:39" ht="12" customHeight="1" x14ac:dyDescent="0.2">
      <c r="A503" s="1" t="s">
        <v>516</v>
      </c>
      <c r="C503" s="1" t="s">
        <v>513</v>
      </c>
      <c r="E503" s="76">
        <v>57405.71</v>
      </c>
      <c r="F503" s="76"/>
      <c r="G503" s="76">
        <v>567012.06000000006</v>
      </c>
      <c r="H503" s="76"/>
      <c r="I503" s="76">
        <v>37885.14</v>
      </c>
      <c r="J503" s="76"/>
      <c r="K503" s="76">
        <v>134</v>
      </c>
      <c r="L503" s="76"/>
      <c r="M503" s="76">
        <v>26117.54</v>
      </c>
      <c r="N503" s="76"/>
      <c r="O503" s="76">
        <v>110</v>
      </c>
      <c r="P503" s="76"/>
      <c r="Q503" s="76">
        <v>1332.02</v>
      </c>
      <c r="R503" s="76"/>
      <c r="S503" s="76">
        <v>20322.07</v>
      </c>
      <c r="T503" s="76"/>
      <c r="U503" s="76">
        <v>0</v>
      </c>
      <c r="V503" s="76"/>
      <c r="W503" s="76">
        <v>0</v>
      </c>
      <c r="X503" s="76"/>
      <c r="Y503" s="76">
        <v>0</v>
      </c>
      <c r="Z503" s="76"/>
      <c r="AA503" s="76">
        <v>0</v>
      </c>
      <c r="AB503" s="76"/>
      <c r="AC503" s="76">
        <v>0</v>
      </c>
      <c r="AD503" s="76"/>
      <c r="AE503" s="76">
        <v>72594.19</v>
      </c>
      <c r="AF503" s="76"/>
      <c r="AG503" s="76">
        <f>26231.38+29801.32</f>
        <v>56032.7</v>
      </c>
      <c r="AH503"/>
      <c r="AI503" s="76">
        <f t="shared" si="7"/>
        <v>838945.42999999993</v>
      </c>
      <c r="AJ503" s="10"/>
    </row>
    <row r="504" spans="1:39" ht="12" customHeight="1" x14ac:dyDescent="0.2">
      <c r="A504" s="1" t="s">
        <v>216</v>
      </c>
      <c r="C504" s="1" t="s">
        <v>801</v>
      </c>
      <c r="E504" s="76">
        <v>3733.12</v>
      </c>
      <c r="F504" s="76"/>
      <c r="G504" s="76">
        <v>0</v>
      </c>
      <c r="H504" s="76"/>
      <c r="I504" s="76">
        <v>672.77</v>
      </c>
      <c r="J504" s="76"/>
      <c r="K504" s="76">
        <v>0</v>
      </c>
      <c r="L504" s="76"/>
      <c r="M504" s="76">
        <v>0</v>
      </c>
      <c r="N504" s="76"/>
      <c r="O504" s="76">
        <v>0</v>
      </c>
      <c r="P504" s="76"/>
      <c r="Q504" s="76">
        <v>589.29999999999995</v>
      </c>
      <c r="R504" s="76"/>
      <c r="S504" s="76">
        <v>6600</v>
      </c>
      <c r="T504" s="76"/>
      <c r="U504" s="76">
        <v>0</v>
      </c>
      <c r="V504" s="76"/>
      <c r="W504" s="76">
        <v>0</v>
      </c>
      <c r="X504" s="76"/>
      <c r="Y504" s="76">
        <v>0</v>
      </c>
      <c r="Z504" s="76"/>
      <c r="AA504" s="76">
        <v>0</v>
      </c>
      <c r="AB504" s="76"/>
      <c r="AC504" s="76">
        <v>0</v>
      </c>
      <c r="AD504" s="76"/>
      <c r="AE504" s="76">
        <v>0</v>
      </c>
      <c r="AF504" s="76"/>
      <c r="AG504" s="76">
        <v>0</v>
      </c>
      <c r="AH504"/>
      <c r="AI504" s="76">
        <f t="shared" si="7"/>
        <v>11595.189999999999</v>
      </c>
      <c r="AJ504" s="10"/>
    </row>
    <row r="505" spans="1:39" ht="12" customHeight="1" x14ac:dyDescent="0.2">
      <c r="A505" s="1" t="s">
        <v>39</v>
      </c>
      <c r="C505" s="1" t="s">
        <v>747</v>
      </c>
      <c r="E505" s="76">
        <v>18871</v>
      </c>
      <c r="F505" s="76"/>
      <c r="G505" s="76">
        <v>114921.37</v>
      </c>
      <c r="H505" s="76"/>
      <c r="I505" s="76">
        <v>118337.34</v>
      </c>
      <c r="J505" s="76"/>
      <c r="K505" s="76">
        <v>0</v>
      </c>
      <c r="L505" s="76"/>
      <c r="M505" s="76">
        <v>765</v>
      </c>
      <c r="N505" s="76"/>
      <c r="O505" s="76">
        <v>76572.850000000006</v>
      </c>
      <c r="P505" s="76"/>
      <c r="Q505" s="76">
        <v>377.72</v>
      </c>
      <c r="R505" s="76"/>
      <c r="S505" s="76">
        <v>8432.09</v>
      </c>
      <c r="T505" s="76"/>
      <c r="U505" s="76">
        <v>0</v>
      </c>
      <c r="V505" s="76"/>
      <c r="W505" s="76">
        <v>0</v>
      </c>
      <c r="X505" s="76"/>
      <c r="Y505" s="76">
        <v>0</v>
      </c>
      <c r="Z505" s="76"/>
      <c r="AA505" s="76">
        <v>0</v>
      </c>
      <c r="AB505" s="76"/>
      <c r="AC505" s="76">
        <v>0</v>
      </c>
      <c r="AD505" s="76"/>
      <c r="AE505" s="76">
        <v>31587.07</v>
      </c>
      <c r="AF505" s="76"/>
      <c r="AG505" s="76">
        <v>0</v>
      </c>
      <c r="AH505"/>
      <c r="AI505" s="76">
        <f t="shared" si="7"/>
        <v>369864.44</v>
      </c>
      <c r="AJ505" s="10"/>
      <c r="AK505" s="22"/>
      <c r="AL505" s="22"/>
      <c r="AM505" s="22"/>
    </row>
    <row r="506" spans="1:39" ht="12" hidden="1" customHeight="1" x14ac:dyDescent="0.2">
      <c r="A506" s="1" t="s">
        <v>892</v>
      </c>
      <c r="C506" s="1" t="s">
        <v>329</v>
      </c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/>
      <c r="AI506" s="76">
        <f t="shared" si="7"/>
        <v>0</v>
      </c>
      <c r="AJ506" s="10"/>
      <c r="AK506" s="22"/>
      <c r="AL506" s="22"/>
      <c r="AM506" s="22"/>
    </row>
    <row r="507" spans="1:39" ht="12" customHeight="1" x14ac:dyDescent="0.2">
      <c r="A507" s="1" t="s">
        <v>517</v>
      </c>
      <c r="C507" s="1" t="s">
        <v>513</v>
      </c>
      <c r="E507" s="76">
        <v>36446</v>
      </c>
      <c r="F507" s="76"/>
      <c r="G507" s="76">
        <v>241060</v>
      </c>
      <c r="H507" s="76"/>
      <c r="I507" s="76">
        <v>36794</v>
      </c>
      <c r="J507" s="76"/>
      <c r="K507" s="76">
        <v>769</v>
      </c>
      <c r="L507" s="76"/>
      <c r="M507" s="76">
        <v>22381</v>
      </c>
      <c r="N507" s="76"/>
      <c r="O507" s="76">
        <v>1860</v>
      </c>
      <c r="P507" s="76"/>
      <c r="Q507" s="76">
        <v>1926</v>
      </c>
      <c r="R507" s="76"/>
      <c r="S507" s="76">
        <v>5079</v>
      </c>
      <c r="T507" s="76"/>
      <c r="U507" s="76">
        <v>0</v>
      </c>
      <c r="V507" s="76"/>
      <c r="W507" s="76">
        <v>0</v>
      </c>
      <c r="X507" s="76"/>
      <c r="Y507" s="76">
        <v>0</v>
      </c>
      <c r="Z507" s="76"/>
      <c r="AA507" s="76">
        <v>0</v>
      </c>
      <c r="AB507" s="76"/>
      <c r="AC507" s="76">
        <v>40000</v>
      </c>
      <c r="AD507" s="76"/>
      <c r="AE507" s="76">
        <v>100000</v>
      </c>
      <c r="AF507" s="76"/>
      <c r="AG507" s="76">
        <v>0</v>
      </c>
      <c r="AH507" s="76"/>
      <c r="AI507" s="76">
        <f t="shared" si="7"/>
        <v>486315</v>
      </c>
      <c r="AJ507" s="10"/>
    </row>
    <row r="508" spans="1:39" ht="12" hidden="1" customHeight="1" x14ac:dyDescent="0.2">
      <c r="A508" s="1" t="s">
        <v>565</v>
      </c>
      <c r="C508" s="1" t="s">
        <v>560</v>
      </c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>
        <f t="shared" si="7"/>
        <v>0</v>
      </c>
      <c r="AJ508" s="10"/>
    </row>
    <row r="509" spans="1:39" ht="12" customHeight="1" x14ac:dyDescent="0.2">
      <c r="A509" s="1" t="s">
        <v>400</v>
      </c>
      <c r="C509" s="1" t="s">
        <v>396</v>
      </c>
      <c r="E509" s="76">
        <v>1309</v>
      </c>
      <c r="F509" s="76"/>
      <c r="G509" s="76">
        <v>0</v>
      </c>
      <c r="H509" s="76"/>
      <c r="I509" s="76">
        <v>3124</v>
      </c>
      <c r="J509" s="76"/>
      <c r="K509" s="76">
        <v>0</v>
      </c>
      <c r="L509" s="76"/>
      <c r="M509" s="76">
        <v>0</v>
      </c>
      <c r="N509" s="76"/>
      <c r="O509" s="76">
        <v>0</v>
      </c>
      <c r="P509" s="76"/>
      <c r="Q509" s="76">
        <v>3</v>
      </c>
      <c r="R509" s="76"/>
      <c r="S509" s="76">
        <v>356</v>
      </c>
      <c r="T509" s="76"/>
      <c r="U509" s="76">
        <v>0</v>
      </c>
      <c r="V509" s="76"/>
      <c r="W509" s="76">
        <v>0</v>
      </c>
      <c r="X509" s="76"/>
      <c r="Y509" s="76">
        <v>0</v>
      </c>
      <c r="Z509" s="76"/>
      <c r="AA509" s="76">
        <v>0</v>
      </c>
      <c r="AB509" s="76"/>
      <c r="AC509" s="76">
        <v>0</v>
      </c>
      <c r="AD509" s="76"/>
      <c r="AE509" s="76">
        <v>0</v>
      </c>
      <c r="AF509" s="76"/>
      <c r="AG509" s="76">
        <v>0</v>
      </c>
      <c r="AH509" s="86"/>
      <c r="AI509" s="76">
        <f t="shared" si="7"/>
        <v>4792</v>
      </c>
      <c r="AJ509" s="10"/>
      <c r="AK509" s="21"/>
      <c r="AL509" s="21"/>
      <c r="AM509" s="21"/>
    </row>
    <row r="510" spans="1:39" ht="12" customHeight="1" x14ac:dyDescent="0.2">
      <c r="A510" s="1" t="s">
        <v>496</v>
      </c>
      <c r="C510" s="1" t="s">
        <v>496</v>
      </c>
      <c r="E510" s="76">
        <v>159846</v>
      </c>
      <c r="F510" s="76"/>
      <c r="G510" s="76">
        <v>432373</v>
      </c>
      <c r="H510" s="76"/>
      <c r="I510" s="76">
        <v>98025</v>
      </c>
      <c r="J510" s="76"/>
      <c r="K510" s="76">
        <v>0</v>
      </c>
      <c r="L510" s="76"/>
      <c r="M510" s="76">
        <v>15095</v>
      </c>
      <c r="N510" s="76"/>
      <c r="O510" s="76">
        <v>26478</v>
      </c>
      <c r="P510" s="76"/>
      <c r="Q510" s="76">
        <v>2411</v>
      </c>
      <c r="R510" s="76"/>
      <c r="S510" s="76">
        <v>193702</v>
      </c>
      <c r="T510" s="76"/>
      <c r="U510" s="76">
        <v>0</v>
      </c>
      <c r="V510" s="76"/>
      <c r="W510" s="76">
        <v>0</v>
      </c>
      <c r="X510" s="76"/>
      <c r="Y510" s="76">
        <v>0</v>
      </c>
      <c r="Z510" s="76"/>
      <c r="AA510" s="76">
        <v>0</v>
      </c>
      <c r="AB510" s="76"/>
      <c r="AC510" s="76">
        <v>0</v>
      </c>
      <c r="AD510" s="76"/>
      <c r="AE510" s="76">
        <v>0</v>
      </c>
      <c r="AF510" s="76"/>
      <c r="AG510" s="76">
        <v>0</v>
      </c>
      <c r="AH510" s="76"/>
      <c r="AI510" s="76">
        <f t="shared" si="7"/>
        <v>927930</v>
      </c>
      <c r="AJ510" s="10"/>
    </row>
    <row r="511" spans="1:39" ht="12" customHeight="1" x14ac:dyDescent="0.2">
      <c r="A511" s="1" t="s">
        <v>498</v>
      </c>
      <c r="C511" s="1" t="s">
        <v>496</v>
      </c>
      <c r="E511" s="76">
        <v>20751.43</v>
      </c>
      <c r="F511" s="76"/>
      <c r="G511" s="76">
        <v>0</v>
      </c>
      <c r="H511" s="76"/>
      <c r="I511" s="76">
        <v>40296.74</v>
      </c>
      <c r="J511" s="76"/>
      <c r="K511" s="76">
        <v>0</v>
      </c>
      <c r="L511" s="76"/>
      <c r="M511" s="76">
        <v>551.01</v>
      </c>
      <c r="N511" s="76"/>
      <c r="O511" s="76">
        <v>21829.4</v>
      </c>
      <c r="P511" s="76"/>
      <c r="Q511" s="76">
        <v>818.57</v>
      </c>
      <c r="R511" s="76"/>
      <c r="S511" s="76">
        <v>58350.58</v>
      </c>
      <c r="T511" s="76"/>
      <c r="U511" s="76">
        <v>0</v>
      </c>
      <c r="V511" s="76"/>
      <c r="W511" s="76">
        <v>0</v>
      </c>
      <c r="X511" s="76"/>
      <c r="Y511" s="76">
        <v>0</v>
      </c>
      <c r="Z511" s="76"/>
      <c r="AA511" s="76">
        <v>40000</v>
      </c>
      <c r="AB511" s="76"/>
      <c r="AC511" s="76">
        <v>0</v>
      </c>
      <c r="AD511" s="76"/>
      <c r="AE511" s="76">
        <v>0</v>
      </c>
      <c r="AF511" s="76"/>
      <c r="AG511" s="76">
        <v>0</v>
      </c>
      <c r="AH511"/>
      <c r="AI511" s="76">
        <f t="shared" si="7"/>
        <v>182597.73</v>
      </c>
      <c r="AJ511" s="36"/>
    </row>
    <row r="512" spans="1:39" s="21" customFormat="1" ht="12" customHeight="1" x14ac:dyDescent="0.2">
      <c r="A512" s="1" t="s">
        <v>676</v>
      </c>
      <c r="B512" s="1"/>
      <c r="C512" s="1" t="s">
        <v>659</v>
      </c>
      <c r="D512" s="1"/>
      <c r="E512" s="76">
        <v>143139.60999999999</v>
      </c>
      <c r="F512" s="76"/>
      <c r="G512" s="76">
        <v>0</v>
      </c>
      <c r="H512" s="76"/>
      <c r="I512" s="76">
        <v>52881.82</v>
      </c>
      <c r="J512" s="76"/>
      <c r="K512" s="76">
        <v>0</v>
      </c>
      <c r="L512" s="76"/>
      <c r="M512" s="76">
        <v>0</v>
      </c>
      <c r="N512" s="76"/>
      <c r="O512" s="76">
        <v>57326.28</v>
      </c>
      <c r="P512" s="76"/>
      <c r="Q512" s="76">
        <v>314.98</v>
      </c>
      <c r="R512" s="76"/>
      <c r="S512" s="76">
        <v>0</v>
      </c>
      <c r="T512" s="76"/>
      <c r="U512" s="76">
        <v>0</v>
      </c>
      <c r="V512" s="76"/>
      <c r="W512" s="76">
        <v>0</v>
      </c>
      <c r="X512" s="76"/>
      <c r="Y512" s="76">
        <v>0</v>
      </c>
      <c r="Z512" s="76"/>
      <c r="AA512" s="76">
        <v>0</v>
      </c>
      <c r="AB512" s="76"/>
      <c r="AC512" s="76">
        <v>0</v>
      </c>
      <c r="AD512" s="76"/>
      <c r="AE512" s="76">
        <v>38266.699999999997</v>
      </c>
      <c r="AF512" s="76"/>
      <c r="AG512" s="76">
        <v>0</v>
      </c>
      <c r="AH512" s="81"/>
      <c r="AI512" s="76">
        <f t="shared" si="7"/>
        <v>291929.39</v>
      </c>
      <c r="AJ512" s="10"/>
      <c r="AK512" s="1"/>
      <c r="AL512" s="1"/>
      <c r="AM512" s="1"/>
    </row>
    <row r="513" spans="1:39" ht="12" customHeight="1" x14ac:dyDescent="0.2">
      <c r="A513" s="1" t="s">
        <v>606</v>
      </c>
      <c r="C513" s="1" t="s">
        <v>601</v>
      </c>
      <c r="E513" s="76">
        <v>85141.27</v>
      </c>
      <c r="F513" s="76"/>
      <c r="G513" s="76">
        <v>0</v>
      </c>
      <c r="H513" s="76"/>
      <c r="I513" s="76">
        <v>71718.14</v>
      </c>
      <c r="J513" s="76"/>
      <c r="K513" s="76">
        <v>0</v>
      </c>
      <c r="L513" s="76"/>
      <c r="M513" s="76">
        <v>300</v>
      </c>
      <c r="N513" s="76"/>
      <c r="O513" s="76">
        <v>17976.78</v>
      </c>
      <c r="P513" s="76"/>
      <c r="Q513" s="76">
        <v>13694.31</v>
      </c>
      <c r="R513" s="76"/>
      <c r="S513" s="76">
        <v>3897.68</v>
      </c>
      <c r="T513" s="76"/>
      <c r="U513" s="76">
        <v>0</v>
      </c>
      <c r="V513" s="76"/>
      <c r="W513" s="76">
        <v>0</v>
      </c>
      <c r="X513" s="76"/>
      <c r="Y513" s="76">
        <v>0</v>
      </c>
      <c r="Z513" s="76"/>
      <c r="AA513" s="76">
        <v>180000</v>
      </c>
      <c r="AB513" s="76"/>
      <c r="AC513" s="76">
        <v>15000</v>
      </c>
      <c r="AD513" s="76"/>
      <c r="AE513" s="76">
        <v>1668.6</v>
      </c>
      <c r="AF513" s="76"/>
      <c r="AG513" s="76">
        <v>0</v>
      </c>
      <c r="AH513"/>
      <c r="AI513" s="76">
        <f t="shared" si="7"/>
        <v>389396.77999999997</v>
      </c>
      <c r="AJ513" s="10"/>
    </row>
    <row r="514" spans="1:39" s="21" customFormat="1" ht="12" customHeight="1" x14ac:dyDescent="0.2">
      <c r="A514" s="1" t="s">
        <v>552</v>
      </c>
      <c r="B514" s="1"/>
      <c r="C514" s="1" t="s">
        <v>549</v>
      </c>
      <c r="D514" s="1"/>
      <c r="E514" s="76">
        <v>10687.12</v>
      </c>
      <c r="F514" s="76"/>
      <c r="G514" s="76">
        <v>297834.05</v>
      </c>
      <c r="H514" s="76"/>
      <c r="I514" s="76">
        <v>89236.33</v>
      </c>
      <c r="J514" s="76"/>
      <c r="K514" s="76">
        <v>0</v>
      </c>
      <c r="L514" s="76"/>
      <c r="M514" s="76">
        <v>215762.4</v>
      </c>
      <c r="N514" s="76"/>
      <c r="O514" s="76">
        <v>54206.42</v>
      </c>
      <c r="P514" s="76"/>
      <c r="Q514" s="76">
        <v>87.19</v>
      </c>
      <c r="R514" s="76"/>
      <c r="S514" s="76">
        <v>24723.77</v>
      </c>
      <c r="T514" s="76"/>
      <c r="U514" s="76">
        <v>0</v>
      </c>
      <c r="V514" s="76"/>
      <c r="W514" s="76">
        <v>0</v>
      </c>
      <c r="X514" s="76"/>
      <c r="Y514" s="76">
        <v>17</v>
      </c>
      <c r="Z514" s="76"/>
      <c r="AA514" s="76">
        <v>0</v>
      </c>
      <c r="AB514" s="76"/>
      <c r="AC514" s="76">
        <v>0</v>
      </c>
      <c r="AD514" s="76"/>
      <c r="AE514" s="76">
        <v>0</v>
      </c>
      <c r="AF514" s="76"/>
      <c r="AG514" s="76">
        <v>0</v>
      </c>
      <c r="AH514"/>
      <c r="AI514" s="76">
        <f t="shared" si="7"/>
        <v>692554.28</v>
      </c>
      <c r="AJ514" s="10"/>
      <c r="AK514" s="1"/>
      <c r="AL514" s="1"/>
      <c r="AM514" s="1"/>
    </row>
    <row r="515" spans="1:39" ht="12" customHeight="1" x14ac:dyDescent="0.2">
      <c r="A515" s="1" t="s">
        <v>433</v>
      </c>
      <c r="C515" s="1" t="s">
        <v>430</v>
      </c>
      <c r="E515" s="76">
        <v>74787</v>
      </c>
      <c r="F515" s="76"/>
      <c r="G515" s="76">
        <v>613232</v>
      </c>
      <c r="H515" s="76"/>
      <c r="I515" s="76">
        <v>207591</v>
      </c>
      <c r="J515" s="76"/>
      <c r="K515" s="76">
        <v>0</v>
      </c>
      <c r="L515" s="76"/>
      <c r="M515" s="76">
        <v>4750</v>
      </c>
      <c r="N515" s="76"/>
      <c r="O515" s="76">
        <v>9331</v>
      </c>
      <c r="P515" s="76"/>
      <c r="Q515" s="76">
        <v>1007</v>
      </c>
      <c r="R515" s="76"/>
      <c r="S515" s="76">
        <v>59739</v>
      </c>
      <c r="T515" s="76"/>
      <c r="U515" s="76">
        <v>0</v>
      </c>
      <c r="V515" s="76"/>
      <c r="W515" s="76">
        <v>0</v>
      </c>
      <c r="X515" s="76"/>
      <c r="Y515" s="76">
        <v>0</v>
      </c>
      <c r="Z515" s="76"/>
      <c r="AA515" s="76">
        <v>0</v>
      </c>
      <c r="AB515" s="76"/>
      <c r="AC515" s="76">
        <v>20753</v>
      </c>
      <c r="AD515" s="76"/>
      <c r="AE515" s="76">
        <v>0</v>
      </c>
      <c r="AF515" s="76"/>
      <c r="AG515" s="76">
        <v>0</v>
      </c>
      <c r="AH515" s="76"/>
      <c r="AI515" s="76">
        <f t="shared" si="7"/>
        <v>991190</v>
      </c>
      <c r="AJ515" s="10"/>
      <c r="AK515" s="21"/>
      <c r="AL515" s="21"/>
      <c r="AM515" s="21"/>
    </row>
    <row r="516" spans="1:39" s="21" customFormat="1" ht="12" customHeight="1" x14ac:dyDescent="0.2">
      <c r="A516" s="1" t="s">
        <v>677</v>
      </c>
      <c r="B516" s="1"/>
      <c r="C516" s="1" t="s">
        <v>666</v>
      </c>
      <c r="D516" s="1"/>
      <c r="E516" s="76">
        <v>20768.89</v>
      </c>
      <c r="F516" s="76"/>
      <c r="G516" s="76">
        <v>152783.65</v>
      </c>
      <c r="H516" s="76"/>
      <c r="I516" s="76">
        <v>221381.77</v>
      </c>
      <c r="J516" s="76"/>
      <c r="K516" s="76">
        <v>0</v>
      </c>
      <c r="L516" s="76"/>
      <c r="M516" s="76">
        <v>0</v>
      </c>
      <c r="N516" s="76"/>
      <c r="O516" s="76">
        <v>3221.16</v>
      </c>
      <c r="P516" s="76"/>
      <c r="Q516" s="76">
        <v>67.37</v>
      </c>
      <c r="R516" s="76"/>
      <c r="S516" s="76">
        <v>1438.67</v>
      </c>
      <c r="T516" s="76"/>
      <c r="U516" s="76">
        <v>0</v>
      </c>
      <c r="V516" s="76"/>
      <c r="W516" s="76">
        <v>0</v>
      </c>
      <c r="X516" s="76"/>
      <c r="Y516" s="76">
        <v>0</v>
      </c>
      <c r="Z516" s="76"/>
      <c r="AA516" s="76">
        <v>0</v>
      </c>
      <c r="AB516" s="76"/>
      <c r="AC516" s="76">
        <v>0</v>
      </c>
      <c r="AD516" s="76"/>
      <c r="AE516" s="76">
        <v>0</v>
      </c>
      <c r="AF516" s="76"/>
      <c r="AG516" s="76">
        <v>0</v>
      </c>
      <c r="AH516"/>
      <c r="AI516" s="76">
        <f t="shared" si="7"/>
        <v>399661.50999999989</v>
      </c>
      <c r="AJ516" s="10"/>
      <c r="AK516" s="7"/>
      <c r="AL516" s="7"/>
      <c r="AM516" s="7"/>
    </row>
    <row r="517" spans="1:39" ht="12" customHeight="1" x14ac:dyDescent="0.2">
      <c r="A517" s="1" t="s">
        <v>482</v>
      </c>
      <c r="C517" s="1" t="s">
        <v>479</v>
      </c>
      <c r="E517" s="76">
        <v>12993</v>
      </c>
      <c r="F517" s="76"/>
      <c r="G517" s="76">
        <v>58298</v>
      </c>
      <c r="H517" s="76"/>
      <c r="I517" s="76">
        <v>11131</v>
      </c>
      <c r="J517" s="76"/>
      <c r="K517" s="76">
        <v>330</v>
      </c>
      <c r="L517" s="76"/>
      <c r="M517" s="76">
        <v>30</v>
      </c>
      <c r="N517" s="76"/>
      <c r="O517" s="76">
        <v>9677</v>
      </c>
      <c r="P517" s="76"/>
      <c r="Q517" s="76">
        <v>0</v>
      </c>
      <c r="R517" s="76"/>
      <c r="S517" s="76">
        <v>4614</v>
      </c>
      <c r="T517" s="76"/>
      <c r="U517" s="76">
        <v>0</v>
      </c>
      <c r="V517" s="76"/>
      <c r="W517" s="76">
        <v>0</v>
      </c>
      <c r="X517" s="76"/>
      <c r="Y517" s="76">
        <v>0</v>
      </c>
      <c r="Z517" s="76"/>
      <c r="AA517" s="76">
        <v>0</v>
      </c>
      <c r="AB517" s="76"/>
      <c r="AC517" s="76">
        <v>30000</v>
      </c>
      <c r="AD517" s="76"/>
      <c r="AE517" s="76">
        <v>212955</v>
      </c>
      <c r="AF517" s="76"/>
      <c r="AG517" s="76">
        <v>0</v>
      </c>
      <c r="AH517" s="76"/>
      <c r="AI517" s="76">
        <f t="shared" si="7"/>
        <v>340028</v>
      </c>
      <c r="AJ517" s="10"/>
    </row>
    <row r="518" spans="1:39" ht="12" customHeight="1" x14ac:dyDescent="0.2">
      <c r="A518" s="1" t="s">
        <v>487</v>
      </c>
      <c r="C518" s="1" t="s">
        <v>484</v>
      </c>
      <c r="E518" s="76">
        <v>41443</v>
      </c>
      <c r="F518" s="76"/>
      <c r="G518" s="76">
        <v>0</v>
      </c>
      <c r="H518" s="76"/>
      <c r="I518" s="76">
        <v>20608</v>
      </c>
      <c r="J518" s="76"/>
      <c r="K518" s="76">
        <v>0</v>
      </c>
      <c r="L518" s="76"/>
      <c r="M518" s="76">
        <v>0</v>
      </c>
      <c r="N518" s="76"/>
      <c r="O518" s="76">
        <v>4057</v>
      </c>
      <c r="P518" s="76"/>
      <c r="Q518" s="76">
        <v>0</v>
      </c>
      <c r="R518" s="76"/>
      <c r="S518" s="76">
        <v>52000</v>
      </c>
      <c r="T518" s="76"/>
      <c r="U518" s="76">
        <v>0</v>
      </c>
      <c r="V518" s="76"/>
      <c r="W518" s="76">
        <v>0</v>
      </c>
      <c r="X518" s="76"/>
      <c r="Y518" s="76">
        <v>0</v>
      </c>
      <c r="Z518" s="76"/>
      <c r="AA518" s="76">
        <v>0</v>
      </c>
      <c r="AB518" s="76"/>
      <c r="AC518" s="76">
        <v>0</v>
      </c>
      <c r="AD518" s="76"/>
      <c r="AE518" s="76">
        <v>0</v>
      </c>
      <c r="AF518" s="76"/>
      <c r="AG518" s="76">
        <v>0</v>
      </c>
      <c r="AH518" s="76"/>
      <c r="AI518" s="76">
        <f t="shared" si="7"/>
        <v>118108</v>
      </c>
      <c r="AJ518" s="10"/>
    </row>
    <row r="519" spans="1:39" s="15" customFormat="1" ht="12" customHeight="1" x14ac:dyDescent="0.2">
      <c r="A519" s="1" t="s">
        <v>505</v>
      </c>
      <c r="B519" s="1"/>
      <c r="C519" s="1" t="s">
        <v>506</v>
      </c>
      <c r="D519" s="1"/>
      <c r="E519" s="76">
        <v>67010.87</v>
      </c>
      <c r="F519" s="76"/>
      <c r="G519" s="76">
        <v>156846.23000000001</v>
      </c>
      <c r="H519" s="76"/>
      <c r="I519" s="76">
        <v>94539.85</v>
      </c>
      <c r="J519" s="76"/>
      <c r="K519" s="76">
        <v>0</v>
      </c>
      <c r="L519" s="76"/>
      <c r="M519" s="76">
        <v>0</v>
      </c>
      <c r="N519" s="76"/>
      <c r="O519" s="76">
        <v>21083.31</v>
      </c>
      <c r="P519" s="76"/>
      <c r="Q519" s="76">
        <v>938.76</v>
      </c>
      <c r="R519" s="76"/>
      <c r="S519" s="76">
        <v>11040.16</v>
      </c>
      <c r="T519" s="76"/>
      <c r="U519" s="76">
        <v>0</v>
      </c>
      <c r="V519" s="76"/>
      <c r="W519" s="76">
        <v>0</v>
      </c>
      <c r="X519" s="76"/>
      <c r="Y519" s="76">
        <v>0</v>
      </c>
      <c r="Z519" s="76"/>
      <c r="AA519" s="76">
        <v>0</v>
      </c>
      <c r="AB519" s="76"/>
      <c r="AC519" s="76">
        <v>0</v>
      </c>
      <c r="AD519" s="76"/>
      <c r="AE519" s="76">
        <v>0</v>
      </c>
      <c r="AF519" s="76"/>
      <c r="AG519" s="76">
        <v>0</v>
      </c>
      <c r="AH519"/>
      <c r="AI519" s="76">
        <f t="shared" si="7"/>
        <v>351459.18</v>
      </c>
      <c r="AJ519" s="10"/>
      <c r="AK519" s="1"/>
      <c r="AL519" s="1"/>
      <c r="AM519" s="1"/>
    </row>
    <row r="520" spans="1:39" ht="12" customHeight="1" x14ac:dyDescent="0.2">
      <c r="A520" s="1" t="s">
        <v>893</v>
      </c>
      <c r="C520" s="1" t="s">
        <v>596</v>
      </c>
      <c r="E520" s="76">
        <v>229696</v>
      </c>
      <c r="F520" s="76"/>
      <c r="G520" s="76">
        <v>419100</v>
      </c>
      <c r="H520" s="76"/>
      <c r="I520" s="76">
        <v>59367</v>
      </c>
      <c r="J520" s="76"/>
      <c r="K520" s="76">
        <v>0</v>
      </c>
      <c r="L520" s="76"/>
      <c r="M520" s="76">
        <v>49403</v>
      </c>
      <c r="N520" s="76"/>
      <c r="O520" s="76">
        <v>6435</v>
      </c>
      <c r="P520" s="76"/>
      <c r="Q520" s="76">
        <v>8764</v>
      </c>
      <c r="R520" s="76"/>
      <c r="S520" s="76">
        <v>56956</v>
      </c>
      <c r="T520" s="76"/>
      <c r="U520" s="76">
        <v>0</v>
      </c>
      <c r="V520" s="76"/>
      <c r="W520" s="76">
        <v>0</v>
      </c>
      <c r="X520" s="76"/>
      <c r="Y520" s="76">
        <v>0</v>
      </c>
      <c r="Z520" s="76"/>
      <c r="AA520" s="76">
        <v>0</v>
      </c>
      <c r="AB520" s="76"/>
      <c r="AC520" s="76">
        <v>0</v>
      </c>
      <c r="AD520" s="76"/>
      <c r="AE520" s="76">
        <v>0</v>
      </c>
      <c r="AF520" s="76"/>
      <c r="AG520" s="76">
        <v>0</v>
      </c>
      <c r="AH520" s="76"/>
      <c r="AI520" s="76">
        <f t="shared" si="7"/>
        <v>829721</v>
      </c>
      <c r="AJ520" s="10"/>
      <c r="AK520" s="22"/>
      <c r="AL520" s="22"/>
      <c r="AM520" s="22"/>
    </row>
    <row r="521" spans="1:39" ht="12" customHeight="1" x14ac:dyDescent="0.2">
      <c r="A521" s="1" t="s">
        <v>54</v>
      </c>
      <c r="C521" s="1" t="s">
        <v>752</v>
      </c>
      <c r="E521" s="76">
        <v>19707.45</v>
      </c>
      <c r="F521" s="76"/>
      <c r="G521" s="76">
        <v>0</v>
      </c>
      <c r="H521" s="76"/>
      <c r="I521" s="76">
        <v>32851.14</v>
      </c>
      <c r="J521" s="76"/>
      <c r="K521" s="76">
        <v>0</v>
      </c>
      <c r="L521" s="76"/>
      <c r="M521" s="76">
        <v>624.39</v>
      </c>
      <c r="N521" s="76"/>
      <c r="O521" s="76">
        <v>0</v>
      </c>
      <c r="P521" s="76"/>
      <c r="Q521" s="76">
        <v>320.06</v>
      </c>
      <c r="R521" s="76"/>
      <c r="S521" s="76">
        <v>7900.92</v>
      </c>
      <c r="T521" s="76"/>
      <c r="U521" s="76">
        <v>0</v>
      </c>
      <c r="V521" s="76"/>
      <c r="W521" s="76">
        <v>0</v>
      </c>
      <c r="X521" s="76"/>
      <c r="Y521" s="76">
        <v>0</v>
      </c>
      <c r="Z521" s="76"/>
      <c r="AA521" s="76">
        <v>0</v>
      </c>
      <c r="AB521" s="76"/>
      <c r="AC521" s="76">
        <v>0</v>
      </c>
      <c r="AD521" s="76"/>
      <c r="AE521" s="76">
        <v>0</v>
      </c>
      <c r="AF521" s="76"/>
      <c r="AG521" s="76">
        <v>0</v>
      </c>
      <c r="AH521"/>
      <c r="AI521" s="76">
        <f t="shared" si="7"/>
        <v>61403.959999999992</v>
      </c>
      <c r="AJ521" s="10"/>
      <c r="AK521" s="22"/>
      <c r="AL521" s="22"/>
      <c r="AM521" s="22"/>
    </row>
    <row r="522" spans="1:39" s="21" customFormat="1" ht="12" customHeight="1" x14ac:dyDescent="0.2">
      <c r="A522" s="1" t="s">
        <v>460</v>
      </c>
      <c r="B522" s="1"/>
      <c r="C522" s="1" t="s">
        <v>432</v>
      </c>
      <c r="D522" s="1"/>
      <c r="E522" s="76">
        <v>64633.57</v>
      </c>
      <c r="F522" s="76"/>
      <c r="G522" s="76">
        <v>1057418.75</v>
      </c>
      <c r="H522" s="76"/>
      <c r="I522" s="76">
        <v>129798.83</v>
      </c>
      <c r="J522" s="76"/>
      <c r="K522" s="76">
        <v>0</v>
      </c>
      <c r="L522" s="76"/>
      <c r="M522" s="76">
        <v>239874.1</v>
      </c>
      <c r="N522" s="76"/>
      <c r="O522" s="76">
        <v>70820.92</v>
      </c>
      <c r="P522" s="76"/>
      <c r="Q522" s="76">
        <v>9641.09</v>
      </c>
      <c r="R522" s="76"/>
      <c r="S522" s="76">
        <v>201778.11</v>
      </c>
      <c r="T522" s="76"/>
      <c r="U522" s="76">
        <v>0</v>
      </c>
      <c r="V522" s="76"/>
      <c r="W522" s="76">
        <v>0</v>
      </c>
      <c r="X522" s="76"/>
      <c r="Y522" s="76">
        <v>0</v>
      </c>
      <c r="Z522" s="76"/>
      <c r="AA522" s="76">
        <v>0</v>
      </c>
      <c r="AB522" s="76"/>
      <c r="AC522" s="76">
        <v>67000</v>
      </c>
      <c r="AD522" s="76"/>
      <c r="AE522" s="76">
        <v>0</v>
      </c>
      <c r="AF522" s="76"/>
      <c r="AG522" s="76">
        <v>0</v>
      </c>
      <c r="AH522" s="81"/>
      <c r="AI522" s="76">
        <f t="shared" si="7"/>
        <v>1840965.37</v>
      </c>
      <c r="AJ522" s="10"/>
      <c r="AK522" s="1"/>
      <c r="AL522" s="1"/>
      <c r="AM522" s="1"/>
    </row>
    <row r="523" spans="1:39" s="15" customFormat="1" ht="12" customHeight="1" x14ac:dyDescent="0.2">
      <c r="A523" s="1" t="s">
        <v>894</v>
      </c>
      <c r="B523" s="1"/>
      <c r="C523" s="1" t="s">
        <v>308</v>
      </c>
      <c r="D523" s="1"/>
      <c r="E523" s="76">
        <v>7571</v>
      </c>
      <c r="F523" s="76"/>
      <c r="G523" s="76">
        <v>0</v>
      </c>
      <c r="H523" s="76"/>
      <c r="I523" s="76">
        <v>0</v>
      </c>
      <c r="J523" s="76"/>
      <c r="K523" s="76">
        <v>0</v>
      </c>
      <c r="L523" s="76"/>
      <c r="M523" s="76">
        <v>0</v>
      </c>
      <c r="N523" s="76"/>
      <c r="O523" s="76">
        <v>0</v>
      </c>
      <c r="P523" s="76"/>
      <c r="Q523" s="76">
        <v>348</v>
      </c>
      <c r="R523" s="76"/>
      <c r="S523" s="76">
        <v>226</v>
      </c>
      <c r="T523" s="76"/>
      <c r="U523" s="76">
        <v>0</v>
      </c>
      <c r="V523" s="76"/>
      <c r="W523" s="76">
        <v>0</v>
      </c>
      <c r="X523" s="76"/>
      <c r="Y523" s="76">
        <v>0</v>
      </c>
      <c r="Z523" s="76"/>
      <c r="AA523" s="76">
        <v>0</v>
      </c>
      <c r="AB523" s="76"/>
      <c r="AC523" s="76">
        <v>0</v>
      </c>
      <c r="AD523" s="76"/>
      <c r="AE523" s="76">
        <v>0</v>
      </c>
      <c r="AF523" s="76"/>
      <c r="AG523" s="76">
        <v>0</v>
      </c>
      <c r="AH523" s="76"/>
      <c r="AI523" s="76">
        <f t="shared" si="7"/>
        <v>8145</v>
      </c>
      <c r="AJ523" s="10"/>
      <c r="AK523" s="1"/>
      <c r="AL523" s="1"/>
      <c r="AM523" s="1"/>
    </row>
    <row r="524" spans="1:39" ht="12" customHeight="1" x14ac:dyDescent="0.2">
      <c r="A524" s="1" t="s">
        <v>376</v>
      </c>
      <c r="C524" s="1" t="s">
        <v>375</v>
      </c>
      <c r="E524" s="76">
        <v>13326.29</v>
      </c>
      <c r="F524" s="76"/>
      <c r="G524" s="76">
        <v>0</v>
      </c>
      <c r="H524" s="76"/>
      <c r="I524" s="76">
        <v>16072.8</v>
      </c>
      <c r="J524" s="76"/>
      <c r="K524" s="76">
        <v>0</v>
      </c>
      <c r="L524" s="76"/>
      <c r="M524" s="76">
        <v>50</v>
      </c>
      <c r="N524" s="76"/>
      <c r="O524" s="76">
        <v>7099.95</v>
      </c>
      <c r="P524" s="76"/>
      <c r="Q524" s="76">
        <v>4317.4799999999996</v>
      </c>
      <c r="R524" s="76"/>
      <c r="S524" s="76">
        <v>0</v>
      </c>
      <c r="T524" s="76"/>
      <c r="U524" s="76">
        <v>0</v>
      </c>
      <c r="V524" s="76"/>
      <c r="W524" s="76">
        <v>0</v>
      </c>
      <c r="X524" s="76"/>
      <c r="Y524" s="76">
        <v>0</v>
      </c>
      <c r="Z524" s="76"/>
      <c r="AA524" s="76">
        <v>0</v>
      </c>
      <c r="AB524" s="76"/>
      <c r="AC524" s="76">
        <v>0</v>
      </c>
      <c r="AD524" s="76"/>
      <c r="AE524" s="76">
        <v>0</v>
      </c>
      <c r="AF524" s="76"/>
      <c r="AG524" s="76">
        <v>0</v>
      </c>
      <c r="AH524"/>
      <c r="AI524" s="76">
        <f t="shared" si="7"/>
        <v>40866.520000000004</v>
      </c>
      <c r="AJ524" s="10"/>
    </row>
    <row r="525" spans="1:39" ht="12" customHeight="1" x14ac:dyDescent="0.2">
      <c r="A525" s="1" t="s">
        <v>163</v>
      </c>
      <c r="C525" s="1" t="s">
        <v>784</v>
      </c>
      <c r="E525" s="76">
        <v>21580.400000000001</v>
      </c>
      <c r="F525" s="76"/>
      <c r="G525" s="76">
        <v>172359.5</v>
      </c>
      <c r="H525" s="76"/>
      <c r="I525" s="76">
        <v>45952.89</v>
      </c>
      <c r="J525" s="76"/>
      <c r="K525" s="76">
        <v>44186.5</v>
      </c>
      <c r="L525" s="76"/>
      <c r="M525" s="76">
        <v>1618.82</v>
      </c>
      <c r="N525" s="76"/>
      <c r="O525" s="76">
        <v>11490.4</v>
      </c>
      <c r="P525" s="76"/>
      <c r="Q525" s="76">
        <v>1621.79</v>
      </c>
      <c r="R525" s="76"/>
      <c r="S525" s="76">
        <v>2305.52</v>
      </c>
      <c r="T525" s="76"/>
      <c r="U525" s="76">
        <v>0</v>
      </c>
      <c r="V525" s="76"/>
      <c r="W525" s="76">
        <v>0</v>
      </c>
      <c r="X525" s="76"/>
      <c r="Y525" s="76">
        <v>0</v>
      </c>
      <c r="Z525" s="76"/>
      <c r="AA525" s="76">
        <v>0</v>
      </c>
      <c r="AB525" s="76"/>
      <c r="AC525" s="76">
        <v>0</v>
      </c>
      <c r="AD525" s="76"/>
      <c r="AE525" s="76">
        <v>0</v>
      </c>
      <c r="AF525" s="76"/>
      <c r="AG525" s="76">
        <v>0</v>
      </c>
      <c r="AH525"/>
      <c r="AI525" s="76">
        <f t="shared" si="7"/>
        <v>301115.82</v>
      </c>
      <c r="AJ525" s="10"/>
    </row>
    <row r="526" spans="1:39" s="15" customFormat="1" ht="12" customHeight="1" x14ac:dyDescent="0.2">
      <c r="A526" s="1" t="s">
        <v>244</v>
      </c>
      <c r="B526" s="1"/>
      <c r="C526" s="1" t="s">
        <v>809</v>
      </c>
      <c r="D526" s="1"/>
      <c r="E526" s="76">
        <v>2463.11</v>
      </c>
      <c r="F526" s="76"/>
      <c r="G526" s="76">
        <v>0</v>
      </c>
      <c r="H526" s="76"/>
      <c r="I526" s="76">
        <v>3794.85</v>
      </c>
      <c r="J526" s="76"/>
      <c r="K526" s="76">
        <v>0</v>
      </c>
      <c r="L526" s="76"/>
      <c r="M526" s="76">
        <v>0</v>
      </c>
      <c r="N526" s="76"/>
      <c r="O526" s="76">
        <v>0</v>
      </c>
      <c r="P526" s="76"/>
      <c r="Q526" s="76">
        <v>7.19</v>
      </c>
      <c r="R526" s="76"/>
      <c r="S526" s="76">
        <v>5114.91</v>
      </c>
      <c r="T526" s="76"/>
      <c r="U526" s="76">
        <v>0</v>
      </c>
      <c r="V526" s="76"/>
      <c r="W526" s="76">
        <v>0</v>
      </c>
      <c r="X526" s="76"/>
      <c r="Y526" s="76">
        <v>0</v>
      </c>
      <c r="Z526" s="76"/>
      <c r="AA526" s="76">
        <v>0</v>
      </c>
      <c r="AB526" s="76"/>
      <c r="AC526" s="76">
        <v>0</v>
      </c>
      <c r="AD526" s="76"/>
      <c r="AE526" s="76">
        <v>0</v>
      </c>
      <c r="AF526" s="76"/>
      <c r="AG526" s="76">
        <v>0</v>
      </c>
      <c r="AH526"/>
      <c r="AI526" s="76">
        <f t="shared" si="7"/>
        <v>11380.06</v>
      </c>
      <c r="AJ526" s="10"/>
      <c r="AK526" s="1"/>
      <c r="AL526" s="1"/>
      <c r="AM526" s="1"/>
    </row>
    <row r="527" spans="1:39" s="15" customFormat="1" ht="12" customHeight="1" x14ac:dyDescent="0.2">
      <c r="A527" s="1" t="s">
        <v>64</v>
      </c>
      <c r="B527" s="1"/>
      <c r="C527" s="1" t="s">
        <v>756</v>
      </c>
      <c r="D527" s="1"/>
      <c r="E527" s="76">
        <v>39613.18</v>
      </c>
      <c r="F527" s="76"/>
      <c r="G527" s="76">
        <v>0</v>
      </c>
      <c r="H527" s="76"/>
      <c r="I527" s="76">
        <v>24125.24</v>
      </c>
      <c r="J527" s="76"/>
      <c r="K527" s="76">
        <v>0</v>
      </c>
      <c r="L527" s="76"/>
      <c r="M527" s="76">
        <v>18422.82</v>
      </c>
      <c r="N527" s="76"/>
      <c r="O527" s="76">
        <v>6555.64</v>
      </c>
      <c r="P527" s="76"/>
      <c r="Q527" s="76">
        <v>0</v>
      </c>
      <c r="R527" s="76"/>
      <c r="S527" s="76">
        <v>872.04</v>
      </c>
      <c r="T527" s="76"/>
      <c r="U527" s="76">
        <v>0</v>
      </c>
      <c r="V527" s="76"/>
      <c r="W527" s="76">
        <v>0</v>
      </c>
      <c r="X527" s="76"/>
      <c r="Y527" s="76">
        <v>0</v>
      </c>
      <c r="Z527" s="76"/>
      <c r="AA527" s="76">
        <v>0</v>
      </c>
      <c r="AB527" s="76"/>
      <c r="AC527" s="76">
        <v>0</v>
      </c>
      <c r="AD527" s="76"/>
      <c r="AE527" s="76">
        <v>0</v>
      </c>
      <c r="AF527" s="76"/>
      <c r="AG527" s="76">
        <v>0</v>
      </c>
      <c r="AH527"/>
      <c r="AI527" s="76">
        <f t="shared" si="7"/>
        <v>89588.919999999984</v>
      </c>
      <c r="AJ527" s="10"/>
      <c r="AK527" s="22"/>
      <c r="AL527" s="22"/>
      <c r="AM527" s="22"/>
    </row>
    <row r="528" spans="1:39" ht="12" customHeight="1" x14ac:dyDescent="0.2">
      <c r="A528" s="1" t="s">
        <v>209</v>
      </c>
      <c r="C528" s="1" t="s">
        <v>798</v>
      </c>
      <c r="E528" s="76">
        <v>138198.18</v>
      </c>
      <c r="F528" s="76"/>
      <c r="G528" s="76">
        <v>0</v>
      </c>
      <c r="H528" s="76"/>
      <c r="I528" s="76">
        <v>131619.45000000001</v>
      </c>
      <c r="J528" s="76"/>
      <c r="K528" s="76">
        <v>0</v>
      </c>
      <c r="L528" s="76"/>
      <c r="M528" s="76">
        <v>0</v>
      </c>
      <c r="N528" s="76"/>
      <c r="O528" s="76">
        <v>41443.72</v>
      </c>
      <c r="P528" s="76"/>
      <c r="Q528" s="76">
        <v>1508.87</v>
      </c>
      <c r="R528" s="76"/>
      <c r="S528" s="76">
        <v>69241.240000000005</v>
      </c>
      <c r="T528" s="76"/>
      <c r="U528" s="76">
        <v>0</v>
      </c>
      <c r="V528" s="76"/>
      <c r="W528" s="76">
        <v>0</v>
      </c>
      <c r="X528" s="76"/>
      <c r="Y528" s="76">
        <v>26790.79</v>
      </c>
      <c r="Z528" s="76"/>
      <c r="AA528" s="76">
        <v>302176.68</v>
      </c>
      <c r="AB528" s="76"/>
      <c r="AC528" s="76">
        <v>0</v>
      </c>
      <c r="AD528" s="76"/>
      <c r="AE528" s="76">
        <v>0</v>
      </c>
      <c r="AF528" s="76"/>
      <c r="AG528" s="76">
        <v>0</v>
      </c>
      <c r="AH528"/>
      <c r="AI528" s="76">
        <f t="shared" si="7"/>
        <v>710978.92999999993</v>
      </c>
      <c r="AJ528" s="10"/>
    </row>
    <row r="529" spans="1:39" ht="12" customHeight="1" x14ac:dyDescent="0.2">
      <c r="A529" s="1" t="s">
        <v>146</v>
      </c>
      <c r="C529" s="1" t="s">
        <v>779</v>
      </c>
      <c r="E529" s="76">
        <v>361212.18</v>
      </c>
      <c r="F529" s="76"/>
      <c r="G529" s="76">
        <v>0</v>
      </c>
      <c r="H529" s="76"/>
      <c r="I529" s="76">
        <v>341474.19</v>
      </c>
      <c r="J529" s="76"/>
      <c r="K529" s="76">
        <v>0</v>
      </c>
      <c r="L529" s="76"/>
      <c r="M529" s="76">
        <v>0</v>
      </c>
      <c r="N529" s="76"/>
      <c r="O529" s="76">
        <v>180467.53</v>
      </c>
      <c r="P529" s="76"/>
      <c r="Q529" s="76">
        <v>756.66</v>
      </c>
      <c r="R529" s="76"/>
      <c r="S529" s="76">
        <v>15603.95</v>
      </c>
      <c r="T529" s="76"/>
      <c r="U529" s="76">
        <v>0</v>
      </c>
      <c r="V529" s="76"/>
      <c r="W529" s="76">
        <v>0</v>
      </c>
      <c r="X529" s="76"/>
      <c r="Y529" s="76">
        <v>0</v>
      </c>
      <c r="Z529" s="76"/>
      <c r="AA529" s="76">
        <v>0</v>
      </c>
      <c r="AB529" s="76"/>
      <c r="AC529" s="76">
        <v>0</v>
      </c>
      <c r="AD529" s="76"/>
      <c r="AE529" s="76">
        <v>0</v>
      </c>
      <c r="AF529" s="76"/>
      <c r="AG529" s="76">
        <v>0</v>
      </c>
      <c r="AH529"/>
      <c r="AI529" s="76">
        <f t="shared" si="7"/>
        <v>899514.51</v>
      </c>
      <c r="AJ529" s="10"/>
    </row>
    <row r="530" spans="1:39" ht="12" customHeight="1" x14ac:dyDescent="0.2">
      <c r="A530" s="1" t="s">
        <v>678</v>
      </c>
      <c r="C530" s="1" t="s">
        <v>666</v>
      </c>
      <c r="E530" s="76">
        <v>8478.34</v>
      </c>
      <c r="F530" s="76"/>
      <c r="G530" s="76">
        <v>0</v>
      </c>
      <c r="H530" s="76"/>
      <c r="I530" s="76">
        <v>21956.880000000001</v>
      </c>
      <c r="J530" s="76"/>
      <c r="K530" s="76">
        <v>0</v>
      </c>
      <c r="L530" s="76"/>
      <c r="M530" s="76">
        <v>3135</v>
      </c>
      <c r="N530" s="76"/>
      <c r="O530" s="76">
        <v>300</v>
      </c>
      <c r="P530" s="76"/>
      <c r="Q530" s="76">
        <v>16.510000000000002</v>
      </c>
      <c r="R530" s="76"/>
      <c r="S530" s="76">
        <v>3385.93</v>
      </c>
      <c r="T530" s="76"/>
      <c r="U530" s="76">
        <v>0</v>
      </c>
      <c r="V530" s="76"/>
      <c r="W530" s="76">
        <v>0</v>
      </c>
      <c r="X530" s="76"/>
      <c r="Y530" s="76">
        <v>0</v>
      </c>
      <c r="Z530" s="76"/>
      <c r="AA530" s="76">
        <v>0</v>
      </c>
      <c r="AB530" s="76"/>
      <c r="AC530" s="76">
        <v>0</v>
      </c>
      <c r="AD530" s="76"/>
      <c r="AE530" s="76">
        <v>0</v>
      </c>
      <c r="AF530" s="76"/>
      <c r="AG530" s="76">
        <v>0</v>
      </c>
      <c r="AH530"/>
      <c r="AI530" s="76">
        <f t="shared" si="7"/>
        <v>37272.660000000003</v>
      </c>
      <c r="AJ530" s="10"/>
      <c r="AK530" s="7"/>
      <c r="AL530" s="7"/>
      <c r="AM530" s="7"/>
    </row>
    <row r="531" spans="1:39" s="15" customFormat="1" ht="12" customHeight="1" x14ac:dyDescent="0.2">
      <c r="A531" s="1"/>
      <c r="B531" s="1"/>
      <c r="C531" s="1"/>
      <c r="D531" s="1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10"/>
      <c r="AK531" s="21"/>
      <c r="AL531" s="21"/>
      <c r="AM531" s="21"/>
    </row>
    <row r="532" spans="1:39" s="15" customFormat="1" ht="12" customHeight="1" x14ac:dyDescent="0.2">
      <c r="A532" s="1"/>
      <c r="B532" s="1"/>
      <c r="C532" s="1"/>
      <c r="D532" s="1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 t="s">
        <v>850</v>
      </c>
      <c r="AJ532" s="10"/>
      <c r="AK532" s="21"/>
      <c r="AL532" s="21"/>
      <c r="AM532" s="21"/>
    </row>
    <row r="533" spans="1:39" s="15" customFormat="1" ht="12" customHeight="1" x14ac:dyDescent="0.2">
      <c r="A533" s="1"/>
      <c r="B533" s="1"/>
      <c r="C533" s="1"/>
      <c r="D533" s="1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10"/>
      <c r="AK533" s="21"/>
      <c r="AL533" s="21"/>
      <c r="AM533" s="21"/>
    </row>
    <row r="534" spans="1:39" ht="12" customHeight="1" x14ac:dyDescent="0.2">
      <c r="A534" s="1" t="s">
        <v>157</v>
      </c>
      <c r="C534" s="1" t="s">
        <v>782</v>
      </c>
      <c r="E534" s="88">
        <v>48085.86</v>
      </c>
      <c r="F534" s="88"/>
      <c r="G534" s="88">
        <v>379442.53</v>
      </c>
      <c r="H534" s="88"/>
      <c r="I534" s="88">
        <v>93467.99</v>
      </c>
      <c r="J534" s="88"/>
      <c r="K534" s="88">
        <v>0</v>
      </c>
      <c r="L534" s="88"/>
      <c r="M534" s="88">
        <v>57213.55</v>
      </c>
      <c r="N534" s="88"/>
      <c r="O534" s="88">
        <v>168699.41</v>
      </c>
      <c r="P534" s="88"/>
      <c r="Q534" s="88">
        <v>275.5</v>
      </c>
      <c r="R534" s="88"/>
      <c r="S534" s="88">
        <v>2985.88</v>
      </c>
      <c r="T534" s="88"/>
      <c r="U534" s="88">
        <v>0</v>
      </c>
      <c r="V534" s="88"/>
      <c r="W534" s="88">
        <v>0</v>
      </c>
      <c r="X534" s="88"/>
      <c r="Y534" s="88">
        <v>20250</v>
      </c>
      <c r="Z534" s="88"/>
      <c r="AA534" s="88">
        <v>0</v>
      </c>
      <c r="AB534" s="88"/>
      <c r="AC534" s="88">
        <v>500</v>
      </c>
      <c r="AD534" s="88"/>
      <c r="AE534" s="88">
        <v>0</v>
      </c>
      <c r="AF534" s="88"/>
      <c r="AG534" s="88">
        <v>0</v>
      </c>
      <c r="AH534" s="88"/>
      <c r="AI534" s="88">
        <f t="shared" si="7"/>
        <v>770920.72000000009</v>
      </c>
      <c r="AJ534" s="10"/>
    </row>
    <row r="535" spans="1:39" ht="12" customHeight="1" x14ac:dyDescent="0.2">
      <c r="A535" s="1" t="s">
        <v>895</v>
      </c>
      <c r="C535" s="1" t="s">
        <v>536</v>
      </c>
      <c r="E535" s="76">
        <v>8486</v>
      </c>
      <c r="F535" s="76"/>
      <c r="G535" s="76">
        <v>19029</v>
      </c>
      <c r="H535" s="76"/>
      <c r="I535" s="76">
        <v>0</v>
      </c>
      <c r="J535" s="76"/>
      <c r="K535" s="76">
        <v>0</v>
      </c>
      <c r="L535" s="76"/>
      <c r="M535" s="76">
        <v>8293</v>
      </c>
      <c r="N535" s="76"/>
      <c r="O535" s="76">
        <v>381</v>
      </c>
      <c r="P535" s="76"/>
      <c r="Q535" s="76">
        <v>0</v>
      </c>
      <c r="R535" s="76"/>
      <c r="S535" s="76">
        <v>12171</v>
      </c>
      <c r="T535" s="76"/>
      <c r="U535" s="76">
        <v>0</v>
      </c>
      <c r="V535" s="76"/>
      <c r="W535" s="76">
        <v>0</v>
      </c>
      <c r="X535" s="76"/>
      <c r="Y535" s="76">
        <v>0</v>
      </c>
      <c r="Z535" s="76"/>
      <c r="AA535" s="76">
        <v>0</v>
      </c>
      <c r="AB535" s="76"/>
      <c r="AC535" s="76">
        <v>0</v>
      </c>
      <c r="AD535" s="76"/>
      <c r="AE535" s="76">
        <v>0</v>
      </c>
      <c r="AF535" s="76"/>
      <c r="AG535" s="76">
        <v>0</v>
      </c>
      <c r="AH535" s="76"/>
      <c r="AI535" s="76">
        <f t="shared" si="7"/>
        <v>48360</v>
      </c>
      <c r="AJ535" s="10"/>
    </row>
    <row r="536" spans="1:39" ht="12" customHeight="1" x14ac:dyDescent="0.2">
      <c r="A536" s="1" t="s">
        <v>679</v>
      </c>
      <c r="C536" s="1" t="s">
        <v>560</v>
      </c>
      <c r="E536" s="76">
        <v>17297.330000000002</v>
      </c>
      <c r="F536" s="76"/>
      <c r="G536" s="76">
        <v>72399.710000000006</v>
      </c>
      <c r="H536" s="76"/>
      <c r="I536" s="76">
        <v>17083.740000000002</v>
      </c>
      <c r="J536" s="76"/>
      <c r="K536" s="76">
        <v>200</v>
      </c>
      <c r="L536" s="76"/>
      <c r="M536" s="76">
        <v>320</v>
      </c>
      <c r="N536" s="76"/>
      <c r="O536" s="76">
        <v>12045.1</v>
      </c>
      <c r="P536" s="76"/>
      <c r="Q536" s="76">
        <v>35.880000000000003</v>
      </c>
      <c r="R536" s="76"/>
      <c r="S536" s="76">
        <v>83.74</v>
      </c>
      <c r="T536" s="76"/>
      <c r="U536" s="76">
        <v>0</v>
      </c>
      <c r="V536" s="76"/>
      <c r="W536" s="76">
        <v>0</v>
      </c>
      <c r="X536" s="76"/>
      <c r="Y536" s="76">
        <v>0</v>
      </c>
      <c r="Z536" s="76"/>
      <c r="AA536" s="76">
        <v>0</v>
      </c>
      <c r="AB536" s="76"/>
      <c r="AC536" s="76">
        <v>0</v>
      </c>
      <c r="AD536" s="76"/>
      <c r="AE536" s="76">
        <v>0</v>
      </c>
      <c r="AF536" s="76"/>
      <c r="AG536" s="76">
        <v>0</v>
      </c>
      <c r="AH536"/>
      <c r="AI536" s="76">
        <f t="shared" si="7"/>
        <v>119465.50000000003</v>
      </c>
      <c r="AJ536" s="10"/>
    </row>
    <row r="537" spans="1:39" ht="12" customHeight="1" x14ac:dyDescent="0.2">
      <c r="A537" s="1" t="s">
        <v>303</v>
      </c>
      <c r="C537" s="1" t="s">
        <v>299</v>
      </c>
      <c r="E537" s="76">
        <v>18907.47</v>
      </c>
      <c r="F537" s="76"/>
      <c r="G537" s="76">
        <v>0</v>
      </c>
      <c r="H537" s="76"/>
      <c r="I537" s="76">
        <v>7345.02</v>
      </c>
      <c r="J537" s="76"/>
      <c r="K537" s="76">
        <v>0</v>
      </c>
      <c r="L537" s="76"/>
      <c r="M537" s="76">
        <v>12730.31</v>
      </c>
      <c r="N537" s="76"/>
      <c r="O537" s="76">
        <v>0</v>
      </c>
      <c r="P537" s="76"/>
      <c r="Q537" s="76">
        <v>20.95</v>
      </c>
      <c r="R537" s="76"/>
      <c r="S537" s="76">
        <v>6059.3</v>
      </c>
      <c r="T537" s="76"/>
      <c r="U537" s="76">
        <v>0</v>
      </c>
      <c r="V537" s="76"/>
      <c r="W537" s="76">
        <v>0</v>
      </c>
      <c r="X537" s="76"/>
      <c r="Y537" s="76">
        <v>0</v>
      </c>
      <c r="Z537" s="76"/>
      <c r="AA537" s="76">
        <v>0</v>
      </c>
      <c r="AB537" s="76"/>
      <c r="AC537" s="76">
        <v>0</v>
      </c>
      <c r="AD537" s="76"/>
      <c r="AE537" s="76">
        <v>0</v>
      </c>
      <c r="AF537" s="76"/>
      <c r="AG537" s="76">
        <v>0</v>
      </c>
      <c r="AH537"/>
      <c r="AI537" s="76">
        <f t="shared" si="7"/>
        <v>45063.05</v>
      </c>
      <c r="AJ537" s="10"/>
      <c r="AK537" s="22"/>
      <c r="AL537" s="22"/>
      <c r="AM537" s="22"/>
    </row>
    <row r="538" spans="1:39" ht="12" customHeight="1" x14ac:dyDescent="0.2">
      <c r="A538" s="1" t="s">
        <v>259</v>
      </c>
      <c r="C538" s="1" t="s">
        <v>813</v>
      </c>
      <c r="E538" s="76">
        <v>12411.16</v>
      </c>
      <c r="F538" s="76"/>
      <c r="G538" s="76">
        <v>64244.22</v>
      </c>
      <c r="H538" s="76"/>
      <c r="I538" s="76">
        <v>6270.66</v>
      </c>
      <c r="J538" s="76"/>
      <c r="K538" s="76">
        <v>0</v>
      </c>
      <c r="L538" s="76"/>
      <c r="M538" s="76">
        <v>0</v>
      </c>
      <c r="N538" s="76"/>
      <c r="O538" s="76">
        <v>5371.16</v>
      </c>
      <c r="P538" s="76"/>
      <c r="Q538" s="76">
        <v>33.24</v>
      </c>
      <c r="R538" s="76"/>
      <c r="S538" s="76">
        <v>800.61</v>
      </c>
      <c r="T538" s="76"/>
      <c r="U538" s="76">
        <v>0</v>
      </c>
      <c r="V538" s="76"/>
      <c r="W538" s="76">
        <v>0</v>
      </c>
      <c r="X538" s="76"/>
      <c r="Y538" s="76">
        <v>0</v>
      </c>
      <c r="Z538" s="76"/>
      <c r="AA538" s="76">
        <v>8057.8</v>
      </c>
      <c r="AB538" s="76"/>
      <c r="AC538" s="76">
        <v>0</v>
      </c>
      <c r="AD538" s="76"/>
      <c r="AE538" s="76">
        <v>0</v>
      </c>
      <c r="AF538" s="76"/>
      <c r="AG538" s="76">
        <v>0</v>
      </c>
      <c r="AH538"/>
      <c r="AI538" s="76">
        <f t="shared" ref="AI538:AI601" si="8">SUM(E538:AG538)</f>
        <v>97188.85000000002</v>
      </c>
      <c r="AJ538" s="10"/>
    </row>
    <row r="539" spans="1:39" ht="12" customHeight="1" x14ac:dyDescent="0.2">
      <c r="A539" s="1" t="s">
        <v>471</v>
      </c>
      <c r="C539" s="1" t="s">
        <v>470</v>
      </c>
      <c r="E539" s="76">
        <v>8451.49</v>
      </c>
      <c r="F539" s="76"/>
      <c r="G539" s="76">
        <v>0</v>
      </c>
      <c r="H539" s="76"/>
      <c r="I539" s="76">
        <v>17166.05</v>
      </c>
      <c r="J539" s="76"/>
      <c r="K539" s="76">
        <v>0</v>
      </c>
      <c r="L539" s="76"/>
      <c r="M539" s="76">
        <v>0</v>
      </c>
      <c r="N539" s="76"/>
      <c r="O539" s="76">
        <v>1277.78</v>
      </c>
      <c r="P539" s="76"/>
      <c r="Q539" s="76">
        <v>21.4</v>
      </c>
      <c r="R539" s="76"/>
      <c r="S539" s="76">
        <v>0</v>
      </c>
      <c r="T539" s="76"/>
      <c r="U539" s="76">
        <v>0</v>
      </c>
      <c r="V539" s="76"/>
      <c r="W539" s="76">
        <v>0</v>
      </c>
      <c r="X539" s="76"/>
      <c r="Y539" s="76">
        <v>0</v>
      </c>
      <c r="Z539" s="76"/>
      <c r="AA539" s="76">
        <v>0</v>
      </c>
      <c r="AB539" s="76"/>
      <c r="AC539" s="76">
        <v>0</v>
      </c>
      <c r="AD539" s="76"/>
      <c r="AE539" s="76">
        <v>0</v>
      </c>
      <c r="AF539" s="76"/>
      <c r="AG539" s="76">
        <v>0</v>
      </c>
      <c r="AH539"/>
      <c r="AI539" s="76">
        <f t="shared" si="8"/>
        <v>26916.720000000001</v>
      </c>
      <c r="AJ539" s="10"/>
    </row>
    <row r="540" spans="1:39" ht="12" customHeight="1" x14ac:dyDescent="0.2">
      <c r="A540" s="1" t="s">
        <v>19</v>
      </c>
      <c r="C540" s="1" t="s">
        <v>741</v>
      </c>
      <c r="E540" s="76">
        <v>37766.36</v>
      </c>
      <c r="F540" s="76"/>
      <c r="G540" s="76">
        <v>177771</v>
      </c>
      <c r="H540" s="76"/>
      <c r="I540" s="76">
        <v>118900.41</v>
      </c>
      <c r="J540" s="76"/>
      <c r="K540" s="76">
        <v>0</v>
      </c>
      <c r="L540" s="76"/>
      <c r="M540" s="76">
        <v>0</v>
      </c>
      <c r="N540" s="76"/>
      <c r="O540" s="76">
        <v>13642.05</v>
      </c>
      <c r="P540" s="76"/>
      <c r="Q540" s="76">
        <v>1298.55</v>
      </c>
      <c r="R540" s="76"/>
      <c r="S540" s="76">
        <v>2607.13</v>
      </c>
      <c r="T540" s="76"/>
      <c r="U540" s="76">
        <v>0</v>
      </c>
      <c r="V540" s="76"/>
      <c r="W540" s="76">
        <v>0</v>
      </c>
      <c r="X540" s="76"/>
      <c r="Y540" s="76">
        <v>0</v>
      </c>
      <c r="Z540" s="76"/>
      <c r="AA540" s="76">
        <v>0</v>
      </c>
      <c r="AB540" s="76"/>
      <c r="AC540" s="76">
        <v>0</v>
      </c>
      <c r="AD540" s="76"/>
      <c r="AE540" s="76">
        <v>0</v>
      </c>
      <c r="AF540" s="76"/>
      <c r="AG540" s="76">
        <v>0</v>
      </c>
      <c r="AH540"/>
      <c r="AI540" s="76">
        <f t="shared" si="8"/>
        <v>351985.5</v>
      </c>
      <c r="AJ540" s="10"/>
      <c r="AK540" s="22"/>
      <c r="AL540" s="22"/>
      <c r="AM540" s="22"/>
    </row>
    <row r="541" spans="1:39" s="21" customFormat="1" ht="12" customHeight="1" x14ac:dyDescent="0.2">
      <c r="A541" s="1" t="s">
        <v>127</v>
      </c>
      <c r="B541" s="1"/>
      <c r="C541" s="1" t="s">
        <v>437</v>
      </c>
      <c r="D541" s="1"/>
      <c r="E541" s="76">
        <v>31033.91</v>
      </c>
      <c r="F541" s="76"/>
      <c r="G541" s="76">
        <v>0</v>
      </c>
      <c r="H541" s="76"/>
      <c r="I541" s="76">
        <v>17251.18</v>
      </c>
      <c r="J541" s="76"/>
      <c r="K541" s="76">
        <v>0</v>
      </c>
      <c r="L541" s="76"/>
      <c r="M541" s="76">
        <v>0</v>
      </c>
      <c r="N541" s="76"/>
      <c r="O541" s="76">
        <v>145892</v>
      </c>
      <c r="P541" s="76"/>
      <c r="Q541" s="76">
        <v>0</v>
      </c>
      <c r="R541" s="76"/>
      <c r="S541" s="76">
        <v>76029.179999999993</v>
      </c>
      <c r="T541" s="76"/>
      <c r="U541" s="76">
        <v>0</v>
      </c>
      <c r="V541" s="76"/>
      <c r="W541" s="76">
        <v>0</v>
      </c>
      <c r="X541" s="76"/>
      <c r="Y541" s="76">
        <v>0</v>
      </c>
      <c r="Z541" s="76"/>
      <c r="AA541" s="76">
        <v>0</v>
      </c>
      <c r="AB541" s="76"/>
      <c r="AC541" s="76">
        <v>0</v>
      </c>
      <c r="AD541" s="76"/>
      <c r="AE541" s="76">
        <v>0</v>
      </c>
      <c r="AF541" s="76"/>
      <c r="AG541" s="76">
        <v>0</v>
      </c>
      <c r="AH541"/>
      <c r="AI541" s="76">
        <f t="shared" si="8"/>
        <v>270206.27</v>
      </c>
      <c r="AJ541" s="10"/>
      <c r="AK541" s="1"/>
      <c r="AL541" s="1"/>
      <c r="AM541" s="1"/>
    </row>
    <row r="542" spans="1:39" s="21" customFormat="1" ht="12" customHeight="1" x14ac:dyDescent="0.2">
      <c r="A542" s="1" t="s">
        <v>150</v>
      </c>
      <c r="B542" s="1"/>
      <c r="C542" s="1" t="s">
        <v>780</v>
      </c>
      <c r="D542" s="1"/>
      <c r="E542" s="76">
        <v>63373.26</v>
      </c>
      <c r="F542" s="76"/>
      <c r="G542" s="76">
        <v>0</v>
      </c>
      <c r="H542" s="76"/>
      <c r="I542" s="76">
        <v>38050.589999999997</v>
      </c>
      <c r="J542" s="76"/>
      <c r="K542" s="76">
        <v>0</v>
      </c>
      <c r="L542" s="76"/>
      <c r="M542" s="76">
        <v>0</v>
      </c>
      <c r="N542" s="76"/>
      <c r="O542" s="76">
        <v>7023</v>
      </c>
      <c r="P542" s="76"/>
      <c r="Q542" s="76">
        <v>410.94</v>
      </c>
      <c r="R542" s="76"/>
      <c r="S542" s="76">
        <v>15357.22</v>
      </c>
      <c r="T542" s="76"/>
      <c r="U542" s="76">
        <v>0</v>
      </c>
      <c r="V542" s="76"/>
      <c r="W542" s="76">
        <v>0</v>
      </c>
      <c r="X542" s="76"/>
      <c r="Y542" s="76">
        <v>0</v>
      </c>
      <c r="Z542" s="76"/>
      <c r="AA542" s="76">
        <v>0</v>
      </c>
      <c r="AB542" s="76"/>
      <c r="AC542" s="76">
        <v>0</v>
      </c>
      <c r="AD542" s="76"/>
      <c r="AE542" s="76">
        <v>16518.71</v>
      </c>
      <c r="AF542" s="76"/>
      <c r="AG542" s="76">
        <v>0</v>
      </c>
      <c r="AH542"/>
      <c r="AI542" s="76">
        <f t="shared" si="8"/>
        <v>140733.72</v>
      </c>
      <c r="AJ542" s="10"/>
      <c r="AK542" s="1"/>
      <c r="AL542" s="1"/>
      <c r="AM542" s="1"/>
    </row>
    <row r="543" spans="1:39" s="21" customFormat="1" ht="12" customHeight="1" x14ac:dyDescent="0.2">
      <c r="A543" s="1" t="s">
        <v>181</v>
      </c>
      <c r="B543" s="1"/>
      <c r="C543" s="1" t="s">
        <v>791</v>
      </c>
      <c r="D543" s="1"/>
      <c r="E543" s="76">
        <v>746315.39</v>
      </c>
      <c r="F543" s="76"/>
      <c r="G543" s="76">
        <v>0</v>
      </c>
      <c r="H543" s="76"/>
      <c r="I543" s="76">
        <v>122738.27</v>
      </c>
      <c r="J543" s="76"/>
      <c r="K543" s="76">
        <v>0</v>
      </c>
      <c r="L543" s="76"/>
      <c r="M543" s="76">
        <v>510465.22</v>
      </c>
      <c r="N543" s="76"/>
      <c r="O543" s="76">
        <v>88933.34</v>
      </c>
      <c r="P543" s="76"/>
      <c r="Q543" s="76">
        <v>11103.69</v>
      </c>
      <c r="R543" s="76"/>
      <c r="S543" s="76">
        <v>43795.78</v>
      </c>
      <c r="T543" s="76"/>
      <c r="U543" s="76">
        <v>0</v>
      </c>
      <c r="V543" s="76"/>
      <c r="W543" s="76">
        <v>0</v>
      </c>
      <c r="X543" s="76"/>
      <c r="Y543" s="76">
        <v>0</v>
      </c>
      <c r="Z543" s="76"/>
      <c r="AA543" s="76">
        <v>0</v>
      </c>
      <c r="AB543" s="76"/>
      <c r="AC543" s="76">
        <v>315973.01</v>
      </c>
      <c r="AD543" s="76"/>
      <c r="AE543" s="76">
        <v>0</v>
      </c>
      <c r="AF543" s="76"/>
      <c r="AG543" s="76">
        <v>0</v>
      </c>
      <c r="AH543"/>
      <c r="AI543" s="76">
        <f t="shared" si="8"/>
        <v>1839324.7</v>
      </c>
      <c r="AJ543" s="10"/>
      <c r="AK543" s="1"/>
      <c r="AL543" s="1"/>
      <c r="AM543" s="1"/>
    </row>
    <row r="544" spans="1:39" s="21" customFormat="1" ht="12" customHeight="1" x14ac:dyDescent="0.2">
      <c r="A544" s="1" t="s">
        <v>89</v>
      </c>
      <c r="B544" s="1"/>
      <c r="C544" s="1" t="s">
        <v>762</v>
      </c>
      <c r="D544" s="1"/>
      <c r="E544" s="76">
        <v>23483.85</v>
      </c>
      <c r="F544" s="76"/>
      <c r="G544" s="76">
        <v>0</v>
      </c>
      <c r="H544" s="76"/>
      <c r="I544" s="76">
        <v>14055.81</v>
      </c>
      <c r="J544" s="76"/>
      <c r="K544" s="76">
        <v>1321.43</v>
      </c>
      <c r="L544" s="76"/>
      <c r="M544" s="76">
        <v>250</v>
      </c>
      <c r="N544" s="76"/>
      <c r="O544" s="76">
        <v>0</v>
      </c>
      <c r="P544" s="76"/>
      <c r="Q544" s="76">
        <v>89.63</v>
      </c>
      <c r="R544" s="76"/>
      <c r="S544" s="76">
        <v>10</v>
      </c>
      <c r="T544" s="76"/>
      <c r="U544" s="76">
        <v>0</v>
      </c>
      <c r="V544" s="76"/>
      <c r="W544" s="76">
        <v>0</v>
      </c>
      <c r="X544" s="76"/>
      <c r="Y544" s="76">
        <v>0</v>
      </c>
      <c r="Z544" s="76"/>
      <c r="AA544" s="76">
        <v>0</v>
      </c>
      <c r="AB544" s="76"/>
      <c r="AC544" s="76">
        <v>0</v>
      </c>
      <c r="AD544" s="76"/>
      <c r="AE544" s="76">
        <v>0</v>
      </c>
      <c r="AF544" s="76"/>
      <c r="AG544" s="76">
        <v>0</v>
      </c>
      <c r="AH544"/>
      <c r="AI544" s="76">
        <f t="shared" si="8"/>
        <v>39210.719999999994</v>
      </c>
      <c r="AJ544" s="10"/>
      <c r="AK544" s="1"/>
      <c r="AL544" s="1"/>
      <c r="AM544" s="1"/>
    </row>
    <row r="545" spans="1:39" s="21" customFormat="1" ht="12" customHeight="1" x14ac:dyDescent="0.2">
      <c r="A545" s="1" t="s">
        <v>134</v>
      </c>
      <c r="B545" s="1"/>
      <c r="C545" s="1" t="s">
        <v>775</v>
      </c>
      <c r="D545" s="1"/>
      <c r="E545" s="76">
        <v>31315.040000000001</v>
      </c>
      <c r="F545" s="76"/>
      <c r="G545" s="76">
        <v>59141.01</v>
      </c>
      <c r="H545" s="76"/>
      <c r="I545" s="76">
        <v>25944.76</v>
      </c>
      <c r="J545" s="76"/>
      <c r="K545" s="76">
        <v>0</v>
      </c>
      <c r="L545" s="76"/>
      <c r="M545" s="76">
        <v>7250</v>
      </c>
      <c r="N545" s="76"/>
      <c r="O545" s="76">
        <v>3387.24</v>
      </c>
      <c r="P545" s="76"/>
      <c r="Q545" s="76">
        <v>286.45999999999998</v>
      </c>
      <c r="R545" s="76"/>
      <c r="S545" s="76">
        <v>902.94</v>
      </c>
      <c r="T545" s="76"/>
      <c r="U545" s="76">
        <v>0</v>
      </c>
      <c r="V545" s="76"/>
      <c r="W545" s="76">
        <v>0</v>
      </c>
      <c r="X545" s="76"/>
      <c r="Y545" s="76">
        <v>0</v>
      </c>
      <c r="Z545" s="76"/>
      <c r="AA545" s="76">
        <v>0</v>
      </c>
      <c r="AB545" s="76"/>
      <c r="AC545" s="76">
        <v>0</v>
      </c>
      <c r="AD545" s="76"/>
      <c r="AE545" s="76">
        <v>0</v>
      </c>
      <c r="AF545" s="76"/>
      <c r="AG545" s="76">
        <v>7833.33</v>
      </c>
      <c r="AH545" s="81"/>
      <c r="AI545" s="76">
        <f t="shared" si="8"/>
        <v>136060.78</v>
      </c>
      <c r="AJ545" s="10"/>
    </row>
    <row r="546" spans="1:39" ht="12" customHeight="1" x14ac:dyDescent="0.2">
      <c r="A546" s="1" t="s">
        <v>158</v>
      </c>
      <c r="C546" s="1" t="s">
        <v>782</v>
      </c>
      <c r="E546" s="76">
        <v>64955.040000000001</v>
      </c>
      <c r="F546" s="76"/>
      <c r="G546" s="76">
        <v>0</v>
      </c>
      <c r="H546" s="76"/>
      <c r="I546" s="76">
        <v>24696.78</v>
      </c>
      <c r="J546" s="76"/>
      <c r="K546" s="76">
        <v>0</v>
      </c>
      <c r="L546" s="76"/>
      <c r="M546" s="76">
        <v>0</v>
      </c>
      <c r="N546" s="76"/>
      <c r="O546" s="76">
        <v>3069</v>
      </c>
      <c r="P546" s="76"/>
      <c r="Q546" s="76">
        <v>115.62</v>
      </c>
      <c r="R546" s="76"/>
      <c r="S546" s="76">
        <v>10294</v>
      </c>
      <c r="T546" s="76"/>
      <c r="U546" s="76">
        <v>0</v>
      </c>
      <c r="V546" s="76"/>
      <c r="W546" s="76">
        <v>0</v>
      </c>
      <c r="X546" s="76"/>
      <c r="Y546" s="76">
        <v>0</v>
      </c>
      <c r="Z546" s="76"/>
      <c r="AA546" s="76">
        <v>0</v>
      </c>
      <c r="AB546" s="76"/>
      <c r="AC546" s="76">
        <v>0</v>
      </c>
      <c r="AD546" s="76"/>
      <c r="AE546" s="76">
        <v>0</v>
      </c>
      <c r="AF546" s="76"/>
      <c r="AG546" s="76">
        <v>0</v>
      </c>
      <c r="AH546" s="81"/>
      <c r="AI546" s="76">
        <f t="shared" si="8"/>
        <v>103130.44</v>
      </c>
      <c r="AJ546" s="10"/>
    </row>
    <row r="547" spans="1:39" ht="12" hidden="1" customHeight="1" x14ac:dyDescent="0.2">
      <c r="A547" s="1" t="s">
        <v>530</v>
      </c>
      <c r="C547" s="1" t="s">
        <v>529</v>
      </c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81"/>
      <c r="AI547" s="76">
        <f t="shared" si="8"/>
        <v>0</v>
      </c>
      <c r="AJ547" s="10"/>
    </row>
    <row r="548" spans="1:39" s="21" customFormat="1" ht="12" customHeight="1" x14ac:dyDescent="0.2">
      <c r="A548" s="1" t="s">
        <v>392</v>
      </c>
      <c r="B548" s="1"/>
      <c r="C548" s="1" t="s">
        <v>388</v>
      </c>
      <c r="D548" s="1"/>
      <c r="E548" s="76">
        <v>12389.68</v>
      </c>
      <c r="F548" s="76"/>
      <c r="G548" s="76">
        <v>0</v>
      </c>
      <c r="H548" s="76"/>
      <c r="I548" s="76">
        <v>45384.81</v>
      </c>
      <c r="J548" s="76"/>
      <c r="K548" s="76">
        <v>0</v>
      </c>
      <c r="L548" s="76"/>
      <c r="M548" s="76">
        <v>355</v>
      </c>
      <c r="N548" s="76"/>
      <c r="O548" s="76">
        <v>0</v>
      </c>
      <c r="P548" s="76"/>
      <c r="Q548" s="76">
        <v>110.98</v>
      </c>
      <c r="R548" s="76"/>
      <c r="S548" s="76">
        <v>23694.47</v>
      </c>
      <c r="T548" s="76"/>
      <c r="U548" s="76">
        <v>0</v>
      </c>
      <c r="V548" s="76"/>
      <c r="W548" s="76">
        <v>0</v>
      </c>
      <c r="X548" s="76"/>
      <c r="Y548" s="76">
        <v>0</v>
      </c>
      <c r="Z548" s="76"/>
      <c r="AA548" s="76">
        <v>0</v>
      </c>
      <c r="AB548" s="76"/>
      <c r="AC548" s="76">
        <v>0</v>
      </c>
      <c r="AD548" s="76"/>
      <c r="AE548" s="76">
        <v>0</v>
      </c>
      <c r="AF548" s="76"/>
      <c r="AG548" s="76">
        <v>0</v>
      </c>
      <c r="AH548"/>
      <c r="AI548" s="76">
        <f t="shared" si="8"/>
        <v>81934.94</v>
      </c>
      <c r="AJ548" s="10"/>
    </row>
    <row r="549" spans="1:39" ht="12" customHeight="1" x14ac:dyDescent="0.2">
      <c r="A549" s="1" t="s">
        <v>945</v>
      </c>
      <c r="C549" s="1" t="s">
        <v>770</v>
      </c>
      <c r="E549" s="76">
        <v>18886</v>
      </c>
      <c r="F549" s="76"/>
      <c r="G549" s="76">
        <v>0</v>
      </c>
      <c r="H549" s="76"/>
      <c r="I549" s="76">
        <v>14903</v>
      </c>
      <c r="J549" s="76"/>
      <c r="K549" s="76">
        <v>0</v>
      </c>
      <c r="L549" s="76"/>
      <c r="M549" s="76">
        <v>1809</v>
      </c>
      <c r="N549" s="76"/>
      <c r="O549" s="76">
        <v>8554</v>
      </c>
      <c r="P549" s="76"/>
      <c r="Q549" s="76">
        <v>0</v>
      </c>
      <c r="R549" s="76"/>
      <c r="S549" s="76">
        <v>10147</v>
      </c>
      <c r="T549" s="76"/>
      <c r="U549" s="76">
        <v>0</v>
      </c>
      <c r="V549" s="76"/>
      <c r="W549" s="76">
        <v>0</v>
      </c>
      <c r="X549" s="76"/>
      <c r="Y549" s="76">
        <v>1100</v>
      </c>
      <c r="Z549" s="76"/>
      <c r="AA549" s="76">
        <v>0</v>
      </c>
      <c r="AB549" s="76"/>
      <c r="AC549" s="76">
        <v>0</v>
      </c>
      <c r="AD549" s="76"/>
      <c r="AE549" s="76">
        <v>0</v>
      </c>
      <c r="AF549" s="76"/>
      <c r="AG549" s="76">
        <v>0</v>
      </c>
      <c r="AH549" s="76"/>
      <c r="AI549" s="76">
        <f t="shared" si="8"/>
        <v>55399</v>
      </c>
      <c r="AJ549" s="10"/>
      <c r="AK549" s="21"/>
      <c r="AL549" s="21"/>
      <c r="AM549" s="21"/>
    </row>
    <row r="550" spans="1:39" ht="12" customHeight="1" x14ac:dyDescent="0.2">
      <c r="A550" s="1" t="s">
        <v>228</v>
      </c>
      <c r="C550" s="1" t="s">
        <v>549</v>
      </c>
      <c r="E550" s="76">
        <v>316541.19</v>
      </c>
      <c r="F550" s="76"/>
      <c r="G550" s="76">
        <v>1213690.02</v>
      </c>
      <c r="H550" s="76"/>
      <c r="I550" s="76">
        <v>190019.79</v>
      </c>
      <c r="J550" s="76"/>
      <c r="K550" s="76">
        <v>0</v>
      </c>
      <c r="L550" s="76"/>
      <c r="M550" s="76">
        <v>4870.57</v>
      </c>
      <c r="N550" s="76"/>
      <c r="O550" s="76">
        <v>241825.71</v>
      </c>
      <c r="P550" s="76"/>
      <c r="Q550" s="76">
        <v>564.87</v>
      </c>
      <c r="R550" s="76"/>
      <c r="S550" s="76">
        <v>13195.95</v>
      </c>
      <c r="T550" s="76"/>
      <c r="U550" s="76">
        <v>0</v>
      </c>
      <c r="V550" s="76"/>
      <c r="W550" s="76">
        <v>0</v>
      </c>
      <c r="X550" s="76"/>
      <c r="Y550" s="76">
        <v>0</v>
      </c>
      <c r="Z550" s="76"/>
      <c r="AA550" s="76">
        <v>2177</v>
      </c>
      <c r="AB550" s="76"/>
      <c r="AC550" s="76">
        <v>20000</v>
      </c>
      <c r="AD550" s="76"/>
      <c r="AE550" s="76">
        <v>0</v>
      </c>
      <c r="AF550" s="76"/>
      <c r="AG550" s="76">
        <f>50771.7+3024.51</f>
        <v>53796.21</v>
      </c>
      <c r="AH550"/>
      <c r="AI550" s="76">
        <f t="shared" si="8"/>
        <v>2056681.31</v>
      </c>
      <c r="AJ550" s="10"/>
    </row>
    <row r="551" spans="1:39" ht="12" customHeight="1" x14ac:dyDescent="0.2">
      <c r="A551" s="1" t="s">
        <v>969</v>
      </c>
      <c r="C551" s="1" t="s">
        <v>500</v>
      </c>
      <c r="E551" s="76">
        <v>311.08999999999997</v>
      </c>
      <c r="F551" s="76"/>
      <c r="G551" s="76">
        <v>0</v>
      </c>
      <c r="H551" s="76"/>
      <c r="I551" s="76">
        <v>11969.48</v>
      </c>
      <c r="J551" s="76"/>
      <c r="K551" s="76">
        <v>0</v>
      </c>
      <c r="L551" s="76"/>
      <c r="M551" s="76">
        <v>0</v>
      </c>
      <c r="N551" s="76"/>
      <c r="O551" s="76">
        <v>0</v>
      </c>
      <c r="P551" s="76"/>
      <c r="Q551" s="76">
        <v>17.350000000000001</v>
      </c>
      <c r="R551" s="76"/>
      <c r="S551" s="76">
        <v>1022.9</v>
      </c>
      <c r="T551" s="76"/>
      <c r="U551" s="76">
        <v>0</v>
      </c>
      <c r="V551" s="76"/>
      <c r="W551" s="76">
        <v>0</v>
      </c>
      <c r="X551" s="76"/>
      <c r="Y551" s="76">
        <v>0</v>
      </c>
      <c r="Z551" s="76"/>
      <c r="AA551" s="76">
        <v>0</v>
      </c>
      <c r="AB551" s="76"/>
      <c r="AC551" s="76">
        <v>0</v>
      </c>
      <c r="AD551" s="76"/>
      <c r="AE551" s="76">
        <v>0</v>
      </c>
      <c r="AF551" s="76"/>
      <c r="AG551" s="76">
        <v>0</v>
      </c>
      <c r="AH551"/>
      <c r="AI551" s="76">
        <f t="shared" si="8"/>
        <v>13320.82</v>
      </c>
      <c r="AJ551" s="10"/>
    </row>
    <row r="552" spans="1:39" s="21" customFormat="1" ht="12" customHeight="1" x14ac:dyDescent="0.2">
      <c r="A552" s="1" t="s">
        <v>534</v>
      </c>
      <c r="B552" s="1"/>
      <c r="C552" s="1" t="s">
        <v>532</v>
      </c>
      <c r="D552" s="1"/>
      <c r="E552" s="76">
        <v>15942.65</v>
      </c>
      <c r="F552" s="76"/>
      <c r="G552" s="76">
        <v>0</v>
      </c>
      <c r="H552" s="76"/>
      <c r="I552" s="76">
        <v>50283.39</v>
      </c>
      <c r="J552" s="76"/>
      <c r="K552" s="76">
        <v>0</v>
      </c>
      <c r="L552" s="76"/>
      <c r="M552" s="76">
        <v>1168</v>
      </c>
      <c r="N552" s="76"/>
      <c r="O552" s="76">
        <v>22131.200000000001</v>
      </c>
      <c r="P552" s="76"/>
      <c r="Q552" s="76">
        <v>3384.57</v>
      </c>
      <c r="R552" s="76"/>
      <c r="S552" s="76">
        <v>16672.72</v>
      </c>
      <c r="T552" s="76"/>
      <c r="U552" s="76">
        <v>0</v>
      </c>
      <c r="V552" s="76"/>
      <c r="W552" s="76">
        <v>0</v>
      </c>
      <c r="X552" s="76"/>
      <c r="Y552" s="76">
        <v>0</v>
      </c>
      <c r="Z552" s="76"/>
      <c r="AA552" s="76">
        <v>0</v>
      </c>
      <c r="AB552" s="76"/>
      <c r="AC552" s="76">
        <v>0</v>
      </c>
      <c r="AD552" s="76"/>
      <c r="AE552" s="76">
        <v>0</v>
      </c>
      <c r="AF552" s="76"/>
      <c r="AG552" s="76">
        <v>135</v>
      </c>
      <c r="AH552"/>
      <c r="AI552" s="76">
        <f t="shared" si="8"/>
        <v>109717.53</v>
      </c>
      <c r="AJ552" s="10"/>
      <c r="AK552" s="1"/>
      <c r="AL552" s="1"/>
      <c r="AM552" s="1"/>
    </row>
    <row r="553" spans="1:39" ht="12" customHeight="1" x14ac:dyDescent="0.2">
      <c r="A553" s="1" t="s">
        <v>553</v>
      </c>
      <c r="C553" s="1" t="s">
        <v>549</v>
      </c>
      <c r="E553" s="76">
        <v>402168</v>
      </c>
      <c r="F553" s="76"/>
      <c r="G553" s="76">
        <v>0</v>
      </c>
      <c r="H553" s="76"/>
      <c r="I553" s="76">
        <v>300716</v>
      </c>
      <c r="J553" s="76"/>
      <c r="K553" s="76">
        <v>0</v>
      </c>
      <c r="L553" s="76"/>
      <c r="M553" s="76">
        <v>1306885</v>
      </c>
      <c r="N553" s="76"/>
      <c r="O553" s="76">
        <v>107879</v>
      </c>
      <c r="P553" s="76"/>
      <c r="Q553" s="76">
        <v>6338</v>
      </c>
      <c r="R553" s="76"/>
      <c r="S553" s="76">
        <f>14041+10478+47845</f>
        <v>72364</v>
      </c>
      <c r="T553" s="76"/>
      <c r="U553" s="76">
        <v>0</v>
      </c>
      <c r="V553" s="76"/>
      <c r="W553" s="76">
        <v>0</v>
      </c>
      <c r="X553" s="76"/>
      <c r="Y553" s="76">
        <v>0</v>
      </c>
      <c r="Z553" s="76"/>
      <c r="AA553" s="76">
        <v>2920666</v>
      </c>
      <c r="AB553" s="76"/>
      <c r="AC553" s="76">
        <v>165000</v>
      </c>
      <c r="AD553" s="76"/>
      <c r="AE553" s="76">
        <v>0</v>
      </c>
      <c r="AF553" s="76"/>
      <c r="AG553" s="76">
        <v>0</v>
      </c>
      <c r="AH553" s="76"/>
      <c r="AI553" s="76">
        <f t="shared" si="8"/>
        <v>5282016</v>
      </c>
      <c r="AJ553" s="10"/>
    </row>
    <row r="554" spans="1:39" ht="12" customHeight="1" x14ac:dyDescent="0.2">
      <c r="A554" s="1" t="s">
        <v>119</v>
      </c>
      <c r="C554" s="1" t="s">
        <v>770</v>
      </c>
      <c r="E554" s="76">
        <v>18080.52</v>
      </c>
      <c r="F554" s="76"/>
      <c r="G554" s="76">
        <v>0</v>
      </c>
      <c r="H554" s="76"/>
      <c r="I554" s="76">
        <v>20292.150000000001</v>
      </c>
      <c r="J554" s="76"/>
      <c r="K554" s="76">
        <v>0</v>
      </c>
      <c r="L554" s="76"/>
      <c r="M554" s="76">
        <v>7840</v>
      </c>
      <c r="N554" s="76"/>
      <c r="O554" s="76">
        <v>250</v>
      </c>
      <c r="P554" s="76"/>
      <c r="Q554" s="76">
        <v>49.64</v>
      </c>
      <c r="R554" s="76"/>
      <c r="S554" s="76">
        <v>105</v>
      </c>
      <c r="T554" s="76"/>
      <c r="U554" s="76">
        <v>0</v>
      </c>
      <c r="V554" s="76"/>
      <c r="W554" s="76">
        <v>0</v>
      </c>
      <c r="X554" s="76"/>
      <c r="Y554" s="76">
        <v>0</v>
      </c>
      <c r="Z554" s="76"/>
      <c r="AA554" s="76">
        <v>305</v>
      </c>
      <c r="AB554" s="76"/>
      <c r="AC554" s="76">
        <v>0</v>
      </c>
      <c r="AD554" s="76"/>
      <c r="AE554" s="76">
        <v>531.07000000000005</v>
      </c>
      <c r="AF554" s="76"/>
      <c r="AG554" s="76">
        <v>0</v>
      </c>
      <c r="AH554" s="81"/>
      <c r="AI554" s="76">
        <f t="shared" si="8"/>
        <v>47453.38</v>
      </c>
      <c r="AJ554" s="10"/>
      <c r="AK554" s="21"/>
      <c r="AL554" s="21"/>
      <c r="AM554" s="21"/>
    </row>
    <row r="555" spans="1:39" s="21" customFormat="1" ht="12" customHeight="1" x14ac:dyDescent="0.2">
      <c r="A555" s="10" t="s">
        <v>238</v>
      </c>
      <c r="B555" s="10"/>
      <c r="C555" s="10" t="s">
        <v>807</v>
      </c>
      <c r="D555" s="10"/>
      <c r="E555" s="76">
        <v>216742</v>
      </c>
      <c r="F555" s="76"/>
      <c r="G555" s="76">
        <v>425652</v>
      </c>
      <c r="H555" s="76"/>
      <c r="I555" s="76">
        <v>5456</v>
      </c>
      <c r="J555" s="76"/>
      <c r="K555" s="76">
        <v>0</v>
      </c>
      <c r="L555" s="76"/>
      <c r="M555" s="76">
        <v>2420</v>
      </c>
      <c r="N555" s="76"/>
      <c r="O555" s="76">
        <v>9455</v>
      </c>
      <c r="P555" s="76"/>
      <c r="Q555" s="76">
        <v>3240</v>
      </c>
      <c r="R555" s="76"/>
      <c r="S555" s="76">
        <v>1855</v>
      </c>
      <c r="T555" s="76"/>
      <c r="U555" s="76">
        <v>0</v>
      </c>
      <c r="V555" s="76"/>
      <c r="W555" s="76">
        <v>0</v>
      </c>
      <c r="X555" s="76"/>
      <c r="Y555" s="76">
        <v>0</v>
      </c>
      <c r="Z555" s="76"/>
      <c r="AA555" s="76">
        <v>0</v>
      </c>
      <c r="AB555" s="76"/>
      <c r="AC555" s="76">
        <v>0</v>
      </c>
      <c r="AD555" s="76"/>
      <c r="AE555" s="76">
        <v>0</v>
      </c>
      <c r="AF555" s="76"/>
      <c r="AG555" s="76">
        <v>0</v>
      </c>
      <c r="AH555" s="35"/>
      <c r="AI555" s="76">
        <f t="shared" si="8"/>
        <v>664820</v>
      </c>
      <c r="AJ555" s="10"/>
      <c r="AK555" s="10"/>
      <c r="AL555" s="10"/>
      <c r="AM555" s="10"/>
    </row>
    <row r="556" spans="1:39" ht="12" customHeight="1" x14ac:dyDescent="0.2">
      <c r="A556" s="10" t="s">
        <v>401</v>
      </c>
      <c r="B556" s="10"/>
      <c r="C556" s="10" t="s">
        <v>396</v>
      </c>
      <c r="D556" s="10"/>
      <c r="E556" s="76">
        <v>5643.42</v>
      </c>
      <c r="F556" s="76"/>
      <c r="G556" s="76">
        <v>28342.04</v>
      </c>
      <c r="H556" s="76"/>
      <c r="I556" s="76">
        <v>5937.13</v>
      </c>
      <c r="J556" s="76"/>
      <c r="K556" s="76">
        <v>0</v>
      </c>
      <c r="L556" s="76"/>
      <c r="M556" s="76">
        <v>0</v>
      </c>
      <c r="N556" s="76"/>
      <c r="O556" s="76">
        <v>1652.37</v>
      </c>
      <c r="P556" s="76"/>
      <c r="Q556" s="76">
        <v>79.959999999999994</v>
      </c>
      <c r="R556" s="76"/>
      <c r="S556" s="76">
        <v>0</v>
      </c>
      <c r="T556" s="76"/>
      <c r="U556" s="76">
        <v>0</v>
      </c>
      <c r="V556" s="76"/>
      <c r="W556" s="76">
        <v>0</v>
      </c>
      <c r="X556" s="76"/>
      <c r="Y556" s="76">
        <v>0</v>
      </c>
      <c r="Z556" s="76"/>
      <c r="AA556" s="76">
        <v>0</v>
      </c>
      <c r="AB556" s="76"/>
      <c r="AC556" s="76">
        <v>0</v>
      </c>
      <c r="AD556" s="76"/>
      <c r="AE556" s="76">
        <v>2836.18</v>
      </c>
      <c r="AF556" s="76"/>
      <c r="AG556" s="76">
        <v>0</v>
      </c>
      <c r="AH556"/>
      <c r="AI556" s="76">
        <f t="shared" si="8"/>
        <v>44491.1</v>
      </c>
      <c r="AJ556" s="10"/>
      <c r="AK556" s="19"/>
      <c r="AL556" s="19"/>
      <c r="AM556" s="19"/>
    </row>
    <row r="557" spans="1:39" ht="12" customHeight="1" x14ac:dyDescent="0.2">
      <c r="A557" s="1" t="s">
        <v>81</v>
      </c>
      <c r="C557" s="1" t="s">
        <v>760</v>
      </c>
      <c r="E557" s="76">
        <v>78.680000000000007</v>
      </c>
      <c r="F557" s="76"/>
      <c r="G557" s="76">
        <v>153774.60999999999</v>
      </c>
      <c r="H557" s="76"/>
      <c r="I557" s="76">
        <v>48832.52</v>
      </c>
      <c r="J557" s="76"/>
      <c r="K557" s="76">
        <v>0</v>
      </c>
      <c r="L557" s="76"/>
      <c r="M557" s="76">
        <v>36772.6</v>
      </c>
      <c r="N557" s="76"/>
      <c r="O557" s="76">
        <v>9868.2099999999991</v>
      </c>
      <c r="P557" s="76"/>
      <c r="Q557" s="76">
        <v>60.94</v>
      </c>
      <c r="R557" s="76"/>
      <c r="S557" s="76">
        <v>39711.599999999999</v>
      </c>
      <c r="T557" s="76"/>
      <c r="U557" s="76">
        <v>0</v>
      </c>
      <c r="V557" s="76"/>
      <c r="W557" s="76">
        <v>0</v>
      </c>
      <c r="X557" s="76"/>
      <c r="Y557" s="76">
        <v>0</v>
      </c>
      <c r="Z557" s="76"/>
      <c r="AA557" s="76">
        <v>0</v>
      </c>
      <c r="AB557" s="76"/>
      <c r="AC557" s="76">
        <v>0</v>
      </c>
      <c r="AD557" s="76"/>
      <c r="AE557" s="76">
        <v>0</v>
      </c>
      <c r="AF557" s="76"/>
      <c r="AG557" s="76">
        <v>0</v>
      </c>
      <c r="AH557"/>
      <c r="AI557" s="76">
        <f t="shared" si="8"/>
        <v>289099.15999999997</v>
      </c>
      <c r="AJ557" s="10"/>
    </row>
    <row r="558" spans="1:39" ht="12" customHeight="1" x14ac:dyDescent="0.2">
      <c r="A558" s="1" t="s">
        <v>284</v>
      </c>
      <c r="C558" s="1" t="s">
        <v>283</v>
      </c>
      <c r="E558" s="76">
        <v>23738.720000000001</v>
      </c>
      <c r="F558" s="76"/>
      <c r="G558" s="76">
        <v>220530.45</v>
      </c>
      <c r="H558" s="76"/>
      <c r="I558" s="76">
        <v>25206.34</v>
      </c>
      <c r="J558" s="76"/>
      <c r="K558" s="76">
        <v>5619.95</v>
      </c>
      <c r="L558" s="76"/>
      <c r="M558" s="76">
        <v>24967.1</v>
      </c>
      <c r="N558" s="76"/>
      <c r="O558" s="76">
        <v>61424.73</v>
      </c>
      <c r="P558" s="76"/>
      <c r="Q558" s="76">
        <v>17366.54</v>
      </c>
      <c r="R558" s="76"/>
      <c r="S558" s="76">
        <v>24109.33</v>
      </c>
      <c r="T558" s="76"/>
      <c r="U558" s="76">
        <v>0</v>
      </c>
      <c r="V558" s="76"/>
      <c r="W558" s="76">
        <v>0</v>
      </c>
      <c r="X558" s="76"/>
      <c r="Y558" s="76">
        <v>0</v>
      </c>
      <c r="Z558" s="76"/>
      <c r="AA558" s="76">
        <v>0</v>
      </c>
      <c r="AB558" s="76"/>
      <c r="AC558" s="76">
        <v>0</v>
      </c>
      <c r="AD558" s="76"/>
      <c r="AE558" s="76">
        <v>0</v>
      </c>
      <c r="AF558" s="76"/>
      <c r="AG558" s="76">
        <v>0</v>
      </c>
      <c r="AH558"/>
      <c r="AI558" s="76">
        <f t="shared" si="8"/>
        <v>402963.16</v>
      </c>
      <c r="AJ558" s="10"/>
      <c r="AK558" s="22"/>
      <c r="AL558" s="22"/>
      <c r="AM558" s="22"/>
    </row>
    <row r="559" spans="1:39" s="21" customFormat="1" ht="12" customHeight="1" x14ac:dyDescent="0.2">
      <c r="A559" s="1" t="s">
        <v>260</v>
      </c>
      <c r="B559" s="1"/>
      <c r="C559" s="1" t="s">
        <v>813</v>
      </c>
      <c r="D559" s="1"/>
      <c r="E559" s="76">
        <v>46875.76</v>
      </c>
      <c r="F559" s="76"/>
      <c r="G559" s="76">
        <v>0</v>
      </c>
      <c r="H559" s="76"/>
      <c r="I559" s="76">
        <v>18855.490000000002</v>
      </c>
      <c r="J559" s="76"/>
      <c r="K559" s="76">
        <v>0</v>
      </c>
      <c r="L559" s="76"/>
      <c r="M559" s="76">
        <v>100</v>
      </c>
      <c r="N559" s="76"/>
      <c r="O559" s="76">
        <v>25351.23</v>
      </c>
      <c r="P559" s="76"/>
      <c r="Q559" s="76">
        <v>262.38</v>
      </c>
      <c r="R559" s="76"/>
      <c r="S559" s="76">
        <v>4391.0200000000004</v>
      </c>
      <c r="T559" s="76"/>
      <c r="U559" s="76">
        <v>0</v>
      </c>
      <c r="V559" s="76"/>
      <c r="W559" s="76">
        <v>0</v>
      </c>
      <c r="X559" s="76"/>
      <c r="Y559" s="76">
        <v>1</v>
      </c>
      <c r="Z559" s="76"/>
      <c r="AA559" s="76">
        <v>0</v>
      </c>
      <c r="AB559" s="76"/>
      <c r="AC559" s="76">
        <v>0</v>
      </c>
      <c r="AD559" s="76"/>
      <c r="AE559" s="76">
        <v>28000</v>
      </c>
      <c r="AF559" s="76"/>
      <c r="AG559" s="76">
        <v>0</v>
      </c>
      <c r="AH559"/>
      <c r="AI559" s="76">
        <f t="shared" si="8"/>
        <v>123836.88</v>
      </c>
      <c r="AJ559" s="36"/>
      <c r="AK559" s="1"/>
      <c r="AL559" s="1"/>
      <c r="AM559" s="1"/>
    </row>
    <row r="560" spans="1:39" s="21" customFormat="1" ht="12" customHeight="1" x14ac:dyDescent="0.2">
      <c r="A560" s="1" t="s">
        <v>356</v>
      </c>
      <c r="B560" s="1"/>
      <c r="C560" s="1" t="s">
        <v>353</v>
      </c>
      <c r="D560" s="1"/>
      <c r="E560" s="76">
        <v>141974</v>
      </c>
      <c r="F560" s="76"/>
      <c r="G560" s="76">
        <v>0</v>
      </c>
      <c r="H560" s="76"/>
      <c r="I560" s="76">
        <v>98804</v>
      </c>
      <c r="J560" s="76"/>
      <c r="K560" s="76">
        <v>0</v>
      </c>
      <c r="L560" s="76"/>
      <c r="M560" s="76">
        <v>0</v>
      </c>
      <c r="N560" s="76"/>
      <c r="O560" s="76">
        <v>12006</v>
      </c>
      <c r="P560" s="76"/>
      <c r="Q560" s="76">
        <v>2028</v>
      </c>
      <c r="R560" s="76"/>
      <c r="S560" s="76">
        <v>0</v>
      </c>
      <c r="T560" s="76"/>
      <c r="U560" s="76">
        <v>0</v>
      </c>
      <c r="V560" s="76"/>
      <c r="W560" s="76">
        <v>0</v>
      </c>
      <c r="X560" s="76"/>
      <c r="Y560" s="76">
        <v>0</v>
      </c>
      <c r="Z560" s="76"/>
      <c r="AA560" s="76">
        <v>0</v>
      </c>
      <c r="AB560" s="76"/>
      <c r="AC560" s="76">
        <v>0</v>
      </c>
      <c r="AD560" s="76"/>
      <c r="AE560" s="76">
        <v>0</v>
      </c>
      <c r="AF560" s="76"/>
      <c r="AG560" s="76">
        <v>0</v>
      </c>
      <c r="AH560" s="76"/>
      <c r="AI560" s="76">
        <f t="shared" si="8"/>
        <v>254812</v>
      </c>
      <c r="AJ560" s="10"/>
      <c r="AK560" s="22"/>
      <c r="AL560" s="22"/>
      <c r="AM560" s="22"/>
    </row>
    <row r="561" spans="1:39" ht="12" customHeight="1" x14ac:dyDescent="0.2">
      <c r="A561" s="1" t="s">
        <v>670</v>
      </c>
      <c r="C561" s="1" t="s">
        <v>671</v>
      </c>
      <c r="E561" s="76">
        <v>127156</v>
      </c>
      <c r="F561" s="76"/>
      <c r="G561" s="76">
        <v>0</v>
      </c>
      <c r="H561" s="76"/>
      <c r="I561" s="76">
        <v>25316</v>
      </c>
      <c r="J561" s="76"/>
      <c r="K561" s="76">
        <v>0</v>
      </c>
      <c r="L561" s="76"/>
      <c r="M561" s="76">
        <v>0</v>
      </c>
      <c r="N561" s="76"/>
      <c r="O561" s="76">
        <v>9555</v>
      </c>
      <c r="P561" s="76"/>
      <c r="Q561" s="76">
        <v>1370</v>
      </c>
      <c r="R561" s="76"/>
      <c r="S561" s="76">
        <v>4929</v>
      </c>
      <c r="T561" s="76"/>
      <c r="U561" s="76">
        <v>0</v>
      </c>
      <c r="V561" s="76"/>
      <c r="W561" s="76">
        <v>0</v>
      </c>
      <c r="X561" s="76"/>
      <c r="Y561" s="76">
        <v>1000</v>
      </c>
      <c r="Z561" s="76"/>
      <c r="AA561" s="76">
        <v>0</v>
      </c>
      <c r="AB561" s="76"/>
      <c r="AC561" s="76">
        <v>0</v>
      </c>
      <c r="AD561" s="76"/>
      <c r="AE561" s="76">
        <v>2285</v>
      </c>
      <c r="AF561" s="76"/>
      <c r="AG561" s="76">
        <v>0</v>
      </c>
      <c r="AH561" s="76"/>
      <c r="AI561" s="76">
        <f t="shared" si="8"/>
        <v>171611</v>
      </c>
      <c r="AJ561" s="10"/>
      <c r="AK561" s="22"/>
      <c r="AL561" s="22"/>
      <c r="AM561" s="22"/>
    </row>
    <row r="562" spans="1:39" ht="12" customHeight="1" x14ac:dyDescent="0.2">
      <c r="A562" s="1" t="s">
        <v>138</v>
      </c>
      <c r="C562" s="1" t="s">
        <v>776</v>
      </c>
      <c r="E562" s="76">
        <v>14382.25</v>
      </c>
      <c r="F562" s="76"/>
      <c r="G562" s="76">
        <v>0</v>
      </c>
      <c r="H562" s="76"/>
      <c r="I562" s="76">
        <v>12851.6</v>
      </c>
      <c r="J562" s="76"/>
      <c r="K562" s="76">
        <v>0</v>
      </c>
      <c r="L562" s="76"/>
      <c r="M562" s="76">
        <v>0</v>
      </c>
      <c r="N562" s="76"/>
      <c r="O562" s="76">
        <v>48</v>
      </c>
      <c r="P562" s="76"/>
      <c r="Q562" s="76">
        <v>793.61</v>
      </c>
      <c r="R562" s="76"/>
      <c r="S562" s="76">
        <v>0</v>
      </c>
      <c r="T562" s="76"/>
      <c r="U562" s="76">
        <v>0</v>
      </c>
      <c r="V562" s="76"/>
      <c r="W562" s="76">
        <v>0</v>
      </c>
      <c r="X562" s="76"/>
      <c r="Y562" s="76">
        <v>0</v>
      </c>
      <c r="Z562" s="76"/>
      <c r="AA562" s="76">
        <v>0</v>
      </c>
      <c r="AB562" s="76"/>
      <c r="AC562" s="76">
        <v>0</v>
      </c>
      <c r="AD562" s="76"/>
      <c r="AE562" s="76">
        <v>0</v>
      </c>
      <c r="AF562" s="76"/>
      <c r="AG562" s="76">
        <v>0</v>
      </c>
      <c r="AH562" s="81"/>
      <c r="AI562" s="76">
        <f t="shared" si="8"/>
        <v>28075.46</v>
      </c>
      <c r="AJ562" s="10"/>
      <c r="AK562" s="21"/>
      <c r="AL562" s="21"/>
      <c r="AM562" s="21"/>
    </row>
    <row r="563" spans="1:39" ht="12" customHeight="1" x14ac:dyDescent="0.2">
      <c r="A563" s="1" t="s">
        <v>672</v>
      </c>
      <c r="C563" s="1" t="s">
        <v>671</v>
      </c>
      <c r="E563" s="76">
        <v>26467.279999999999</v>
      </c>
      <c r="F563" s="76"/>
      <c r="G563" s="76">
        <v>75759.490000000005</v>
      </c>
      <c r="H563" s="76"/>
      <c r="I563" s="76">
        <v>21943.21</v>
      </c>
      <c r="J563" s="76"/>
      <c r="K563" s="76">
        <v>0</v>
      </c>
      <c r="L563" s="76"/>
      <c r="M563" s="76">
        <v>0</v>
      </c>
      <c r="N563" s="76"/>
      <c r="O563" s="76">
        <v>360</v>
      </c>
      <c r="P563" s="76"/>
      <c r="Q563" s="76">
        <v>404.96</v>
      </c>
      <c r="R563" s="76"/>
      <c r="S563" s="76">
        <v>6189.05</v>
      </c>
      <c r="T563" s="76"/>
      <c r="U563" s="76">
        <v>0</v>
      </c>
      <c r="V563" s="76"/>
      <c r="W563" s="76">
        <v>0</v>
      </c>
      <c r="X563" s="76"/>
      <c r="Y563" s="76">
        <v>0</v>
      </c>
      <c r="Z563" s="76"/>
      <c r="AA563" s="76">
        <v>0</v>
      </c>
      <c r="AB563" s="76"/>
      <c r="AC563" s="76">
        <v>0</v>
      </c>
      <c r="AD563" s="76"/>
      <c r="AE563" s="76">
        <v>0</v>
      </c>
      <c r="AF563" s="76"/>
      <c r="AG563" s="76">
        <v>0</v>
      </c>
      <c r="AH563"/>
      <c r="AI563" s="76">
        <f t="shared" si="8"/>
        <v>131123.99000000002</v>
      </c>
      <c r="AJ563" s="10"/>
      <c r="AK563" s="22"/>
      <c r="AL563" s="22"/>
      <c r="AM563" s="22"/>
    </row>
    <row r="564" spans="1:39" s="21" customFormat="1" ht="12" customHeight="1" x14ac:dyDescent="0.2">
      <c r="A564" s="1" t="s">
        <v>468</v>
      </c>
      <c r="B564" s="1"/>
      <c r="C564" s="1" t="s">
        <v>466</v>
      </c>
      <c r="D564" s="1"/>
      <c r="E564" s="76">
        <v>52422.13</v>
      </c>
      <c r="F564" s="76"/>
      <c r="G564" s="76">
        <v>252791.19</v>
      </c>
      <c r="H564" s="76"/>
      <c r="I564" s="76">
        <v>35482.839999999997</v>
      </c>
      <c r="J564" s="76"/>
      <c r="K564" s="76">
        <v>0</v>
      </c>
      <c r="L564" s="76"/>
      <c r="M564" s="76">
        <v>0</v>
      </c>
      <c r="N564" s="76"/>
      <c r="O564" s="76">
        <v>18109.64</v>
      </c>
      <c r="P564" s="76"/>
      <c r="Q564" s="76">
        <v>1085.08</v>
      </c>
      <c r="R564" s="76"/>
      <c r="S564" s="76">
        <v>5849.96</v>
      </c>
      <c r="T564" s="76"/>
      <c r="U564" s="76">
        <v>0</v>
      </c>
      <c r="V564" s="76"/>
      <c r="W564" s="76">
        <v>0</v>
      </c>
      <c r="X564" s="76"/>
      <c r="Y564" s="76">
        <v>0</v>
      </c>
      <c r="Z564" s="76"/>
      <c r="AA564" s="76">
        <v>0</v>
      </c>
      <c r="AB564" s="76"/>
      <c r="AC564" s="76">
        <v>0</v>
      </c>
      <c r="AD564" s="76"/>
      <c r="AE564" s="76">
        <v>0</v>
      </c>
      <c r="AF564" s="76"/>
      <c r="AG564" s="76">
        <v>0</v>
      </c>
      <c r="AH564"/>
      <c r="AI564" s="76">
        <f t="shared" si="8"/>
        <v>365740.84000000008</v>
      </c>
      <c r="AJ564" s="10"/>
      <c r="AK564" s="1"/>
      <c r="AL564" s="1"/>
      <c r="AM564" s="1"/>
    </row>
    <row r="565" spans="1:39" ht="12" customHeight="1" x14ac:dyDescent="0.2">
      <c r="A565" s="1" t="s">
        <v>818</v>
      </c>
      <c r="C565" s="1" t="s">
        <v>207</v>
      </c>
      <c r="E565" s="76">
        <v>9233.41</v>
      </c>
      <c r="F565" s="76"/>
      <c r="G565" s="76">
        <v>0</v>
      </c>
      <c r="H565" s="76"/>
      <c r="I565" s="76">
        <v>15052.83</v>
      </c>
      <c r="J565" s="76"/>
      <c r="K565" s="76">
        <v>0</v>
      </c>
      <c r="L565" s="76"/>
      <c r="M565" s="76">
        <v>1730</v>
      </c>
      <c r="N565" s="76"/>
      <c r="O565" s="76">
        <v>1372.06</v>
      </c>
      <c r="P565" s="76"/>
      <c r="Q565" s="76">
        <v>3.87</v>
      </c>
      <c r="R565" s="76"/>
      <c r="S565" s="76">
        <v>1.5</v>
      </c>
      <c r="T565" s="76"/>
      <c r="U565" s="76">
        <v>0</v>
      </c>
      <c r="V565" s="76"/>
      <c r="W565" s="76">
        <v>0</v>
      </c>
      <c r="X565" s="76"/>
      <c r="Y565" s="76">
        <v>0</v>
      </c>
      <c r="Z565" s="76"/>
      <c r="AA565" s="76">
        <v>4000</v>
      </c>
      <c r="AB565" s="76"/>
      <c r="AC565" s="76">
        <v>0</v>
      </c>
      <c r="AD565" s="76"/>
      <c r="AE565" s="76">
        <v>0</v>
      </c>
      <c r="AF565" s="76"/>
      <c r="AG565" s="76">
        <v>0</v>
      </c>
      <c r="AH565"/>
      <c r="AI565" s="76">
        <f t="shared" si="8"/>
        <v>31393.67</v>
      </c>
      <c r="AJ565" s="10"/>
    </row>
    <row r="566" spans="1:39" s="21" customFormat="1" ht="12" customHeight="1" x14ac:dyDescent="0.2">
      <c r="A566" s="1" t="s">
        <v>45</v>
      </c>
      <c r="B566" s="1"/>
      <c r="C566" s="1" t="s">
        <v>749</v>
      </c>
      <c r="D566" s="1"/>
      <c r="E566" s="76">
        <v>8639.35</v>
      </c>
      <c r="F566" s="76"/>
      <c r="G566" s="76">
        <v>0</v>
      </c>
      <c r="H566" s="76"/>
      <c r="I566" s="76">
        <v>18739.599999999999</v>
      </c>
      <c r="J566" s="76"/>
      <c r="K566" s="76">
        <v>0</v>
      </c>
      <c r="L566" s="76"/>
      <c r="M566" s="76">
        <v>0</v>
      </c>
      <c r="N566" s="76"/>
      <c r="O566" s="76">
        <v>1980</v>
      </c>
      <c r="P566" s="76"/>
      <c r="Q566" s="76">
        <v>0</v>
      </c>
      <c r="R566" s="76"/>
      <c r="S566" s="76">
        <v>11474.18</v>
      </c>
      <c r="T566" s="76"/>
      <c r="U566" s="76">
        <v>0</v>
      </c>
      <c r="V566" s="76"/>
      <c r="W566" s="76">
        <v>0</v>
      </c>
      <c r="X566" s="76"/>
      <c r="Y566" s="76">
        <v>0</v>
      </c>
      <c r="Z566" s="76"/>
      <c r="AA566" s="76">
        <v>0</v>
      </c>
      <c r="AB566" s="76"/>
      <c r="AC566" s="76">
        <v>0</v>
      </c>
      <c r="AD566" s="76"/>
      <c r="AE566" s="76">
        <v>0</v>
      </c>
      <c r="AF566" s="76"/>
      <c r="AG566" s="76">
        <v>0</v>
      </c>
      <c r="AH566"/>
      <c r="AI566" s="76">
        <f t="shared" si="8"/>
        <v>40833.129999999997</v>
      </c>
      <c r="AJ566" s="10"/>
      <c r="AK566" s="22"/>
      <c r="AL566" s="22"/>
      <c r="AM566" s="22"/>
    </row>
    <row r="567" spans="1:39" s="47" customFormat="1" ht="12" customHeight="1" x14ac:dyDescent="0.2">
      <c r="A567" s="1" t="s">
        <v>819</v>
      </c>
      <c r="B567" s="1"/>
      <c r="C567" s="1" t="s">
        <v>659</v>
      </c>
      <c r="D567" s="1"/>
      <c r="E567" s="76">
        <v>5798</v>
      </c>
      <c r="F567" s="76"/>
      <c r="G567" s="76">
        <v>0</v>
      </c>
      <c r="H567" s="76"/>
      <c r="I567" s="76">
        <v>1293</v>
      </c>
      <c r="J567" s="76"/>
      <c r="K567" s="76">
        <v>0</v>
      </c>
      <c r="L567" s="76"/>
      <c r="M567" s="76">
        <v>0</v>
      </c>
      <c r="N567" s="76"/>
      <c r="O567" s="76">
        <v>0</v>
      </c>
      <c r="P567" s="76"/>
      <c r="Q567" s="76">
        <v>0</v>
      </c>
      <c r="R567" s="76"/>
      <c r="S567" s="76">
        <v>0</v>
      </c>
      <c r="T567" s="76"/>
      <c r="U567" s="76">
        <v>0</v>
      </c>
      <c r="V567" s="76"/>
      <c r="W567" s="76">
        <v>0</v>
      </c>
      <c r="X567" s="76"/>
      <c r="Y567" s="76">
        <v>0</v>
      </c>
      <c r="Z567" s="76"/>
      <c r="AA567" s="76">
        <v>0</v>
      </c>
      <c r="AB567" s="76"/>
      <c r="AC567" s="76">
        <v>0</v>
      </c>
      <c r="AD567" s="76"/>
      <c r="AE567" s="76">
        <v>0</v>
      </c>
      <c r="AF567" s="76"/>
      <c r="AG567" s="76">
        <v>0</v>
      </c>
      <c r="AH567" s="76"/>
      <c r="AI567" s="76">
        <f t="shared" si="8"/>
        <v>7091</v>
      </c>
      <c r="AJ567" s="10"/>
      <c r="AK567" s="1"/>
      <c r="AL567" s="1"/>
      <c r="AM567" s="1"/>
    </row>
    <row r="568" spans="1:39" s="21" customFormat="1" ht="12" customHeight="1" x14ac:dyDescent="0.2">
      <c r="A568" s="1" t="s">
        <v>488</v>
      </c>
      <c r="B568" s="1"/>
      <c r="C568" s="1" t="s">
        <v>484</v>
      </c>
      <c r="D568" s="1"/>
      <c r="E568" s="76">
        <v>52043.79</v>
      </c>
      <c r="F568" s="76"/>
      <c r="G568" s="76">
        <v>0</v>
      </c>
      <c r="H568" s="76"/>
      <c r="I568" s="76">
        <v>49581.39</v>
      </c>
      <c r="J568" s="76"/>
      <c r="K568" s="76">
        <v>0</v>
      </c>
      <c r="L568" s="76"/>
      <c r="M568" s="76">
        <v>0</v>
      </c>
      <c r="N568" s="76"/>
      <c r="O568" s="76">
        <v>19293.29</v>
      </c>
      <c r="P568" s="76"/>
      <c r="Q568" s="76">
        <v>1248</v>
      </c>
      <c r="R568" s="76"/>
      <c r="S568" s="76">
        <v>1699.9</v>
      </c>
      <c r="T568" s="76"/>
      <c r="U568" s="76">
        <v>0</v>
      </c>
      <c r="V568" s="76"/>
      <c r="W568" s="76">
        <v>0</v>
      </c>
      <c r="X568" s="76"/>
      <c r="Y568" s="76">
        <v>0</v>
      </c>
      <c r="Z568" s="76"/>
      <c r="AA568" s="76">
        <v>45000</v>
      </c>
      <c r="AB568" s="76"/>
      <c r="AC568" s="76">
        <v>0</v>
      </c>
      <c r="AD568" s="76"/>
      <c r="AE568" s="76">
        <v>0</v>
      </c>
      <c r="AF568" s="76"/>
      <c r="AG568" s="76">
        <v>0</v>
      </c>
      <c r="AH568"/>
      <c r="AI568" s="76">
        <f t="shared" si="8"/>
        <v>168866.37</v>
      </c>
      <c r="AJ568" s="10"/>
      <c r="AK568" s="1"/>
      <c r="AL568" s="1"/>
      <c r="AM568" s="1"/>
    </row>
    <row r="569" spans="1:39" s="21" customFormat="1" ht="12" hidden="1" customHeight="1" x14ac:dyDescent="0.2">
      <c r="A569" s="1" t="s">
        <v>336</v>
      </c>
      <c r="B569" s="1"/>
      <c r="C569" s="1" t="s">
        <v>329</v>
      </c>
      <c r="D569" s="1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/>
      <c r="AI569" s="76">
        <f t="shared" si="8"/>
        <v>0</v>
      </c>
      <c r="AJ569" s="10"/>
      <c r="AK569" s="1"/>
      <c r="AL569" s="1"/>
      <c r="AM569" s="1"/>
    </row>
    <row r="570" spans="1:39" s="21" customFormat="1" ht="12" customHeight="1" x14ac:dyDescent="0.2">
      <c r="A570" s="1" t="s">
        <v>896</v>
      </c>
      <c r="B570" s="1"/>
      <c r="C570" s="1" t="s">
        <v>560</v>
      </c>
      <c r="D570" s="1"/>
      <c r="E570" s="76">
        <v>10693.66</v>
      </c>
      <c r="F570" s="76"/>
      <c r="G570" s="76">
        <v>18262.64</v>
      </c>
      <c r="H570" s="76"/>
      <c r="I570" s="76">
        <v>6284.55</v>
      </c>
      <c r="J570" s="76"/>
      <c r="K570" s="76">
        <v>0</v>
      </c>
      <c r="L570" s="76"/>
      <c r="M570" s="76">
        <v>0</v>
      </c>
      <c r="N570" s="76"/>
      <c r="O570" s="76">
        <v>432</v>
      </c>
      <c r="P570" s="76"/>
      <c r="Q570" s="76">
        <v>8.0299999999999994</v>
      </c>
      <c r="R570" s="76"/>
      <c r="S570" s="76">
        <v>23813.7</v>
      </c>
      <c r="T570" s="76"/>
      <c r="U570" s="76">
        <v>0</v>
      </c>
      <c r="V570" s="76"/>
      <c r="W570" s="76">
        <v>0</v>
      </c>
      <c r="X570" s="76"/>
      <c r="Y570" s="76">
        <v>0</v>
      </c>
      <c r="Z570" s="76"/>
      <c r="AA570" s="76">
        <v>0</v>
      </c>
      <c r="AB570" s="76"/>
      <c r="AC570" s="76">
        <v>0</v>
      </c>
      <c r="AD570" s="76"/>
      <c r="AE570" s="76">
        <v>0</v>
      </c>
      <c r="AF570" s="76"/>
      <c r="AG570" s="76">
        <v>0</v>
      </c>
      <c r="AH570" s="81"/>
      <c r="AI570" s="76">
        <f t="shared" si="8"/>
        <v>59494.58</v>
      </c>
      <c r="AJ570" s="10"/>
    </row>
    <row r="571" spans="1:39" ht="12" customHeight="1" x14ac:dyDescent="0.2">
      <c r="A571" s="1" t="s">
        <v>842</v>
      </c>
      <c r="C571" s="1" t="s">
        <v>775</v>
      </c>
      <c r="E571" s="76">
        <v>56809.23</v>
      </c>
      <c r="F571" s="76"/>
      <c r="G571" s="76">
        <v>0</v>
      </c>
      <c r="H571" s="76"/>
      <c r="I571" s="76">
        <v>55485.05</v>
      </c>
      <c r="J571" s="76"/>
      <c r="K571" s="76">
        <v>0</v>
      </c>
      <c r="L571" s="76"/>
      <c r="M571" s="76">
        <v>0</v>
      </c>
      <c r="N571" s="76"/>
      <c r="O571" s="76">
        <v>3333.28</v>
      </c>
      <c r="P571" s="76"/>
      <c r="Q571" s="76">
        <v>740.8</v>
      </c>
      <c r="R571" s="76"/>
      <c r="S571" s="76">
        <v>5970.25</v>
      </c>
      <c r="T571" s="76"/>
      <c r="U571" s="76">
        <v>0</v>
      </c>
      <c r="V571" s="76"/>
      <c r="W571" s="76">
        <v>0</v>
      </c>
      <c r="X571" s="76"/>
      <c r="Y571" s="76">
        <v>0</v>
      </c>
      <c r="Z571" s="76"/>
      <c r="AA571" s="76">
        <v>0</v>
      </c>
      <c r="AB571" s="76"/>
      <c r="AC571" s="76">
        <v>0</v>
      </c>
      <c r="AD571" s="76"/>
      <c r="AE571" s="76">
        <v>0</v>
      </c>
      <c r="AF571" s="76"/>
      <c r="AG571" s="76">
        <v>0</v>
      </c>
      <c r="AH571" s="81"/>
      <c r="AI571" s="76">
        <f t="shared" si="8"/>
        <v>122338.61</v>
      </c>
      <c r="AJ571" s="10"/>
      <c r="AK571" s="21"/>
      <c r="AL571" s="21"/>
      <c r="AM571" s="21"/>
    </row>
    <row r="572" spans="1:39" ht="12" customHeight="1" x14ac:dyDescent="0.2">
      <c r="A572" s="1" t="s">
        <v>65</v>
      </c>
      <c r="C572" s="1" t="s">
        <v>756</v>
      </c>
      <c r="E572" s="76">
        <v>7753.58</v>
      </c>
      <c r="F572" s="76"/>
      <c r="G572" s="76">
        <v>0</v>
      </c>
      <c r="H572" s="76"/>
      <c r="I572" s="76">
        <v>8364.18</v>
      </c>
      <c r="J572" s="76"/>
      <c r="K572" s="76">
        <v>0</v>
      </c>
      <c r="L572" s="76"/>
      <c r="M572" s="76">
        <v>1500</v>
      </c>
      <c r="N572" s="76"/>
      <c r="O572" s="76">
        <v>859.28</v>
      </c>
      <c r="P572" s="76"/>
      <c r="Q572" s="76">
        <v>1142.76</v>
      </c>
      <c r="R572" s="76"/>
      <c r="S572" s="76">
        <v>827.08</v>
      </c>
      <c r="T572" s="76"/>
      <c r="U572" s="76">
        <v>0</v>
      </c>
      <c r="V572" s="76"/>
      <c r="W572" s="76">
        <v>0</v>
      </c>
      <c r="X572" s="76"/>
      <c r="Y572" s="76">
        <v>0</v>
      </c>
      <c r="Z572" s="76"/>
      <c r="AA572" s="76">
        <v>0</v>
      </c>
      <c r="AB572" s="76"/>
      <c r="AC572" s="76">
        <v>0</v>
      </c>
      <c r="AD572" s="76"/>
      <c r="AE572" s="76">
        <v>0</v>
      </c>
      <c r="AF572" s="76"/>
      <c r="AG572" s="76">
        <v>0</v>
      </c>
      <c r="AH572"/>
      <c r="AI572" s="76">
        <f t="shared" si="8"/>
        <v>20446.88</v>
      </c>
      <c r="AJ572" s="10"/>
      <c r="AK572" s="22"/>
      <c r="AL572" s="22"/>
      <c r="AM572" s="22"/>
    </row>
    <row r="573" spans="1:39" ht="12" customHeight="1" x14ac:dyDescent="0.2">
      <c r="A573" s="1" t="s">
        <v>447</v>
      </c>
      <c r="C573" s="1" t="s">
        <v>446</v>
      </c>
      <c r="E573" s="76">
        <v>83252.070000000007</v>
      </c>
      <c r="F573" s="76"/>
      <c r="G573" s="76">
        <v>231414.8</v>
      </c>
      <c r="H573" s="76"/>
      <c r="I573" s="76">
        <v>94771.38</v>
      </c>
      <c r="J573" s="76"/>
      <c r="K573" s="76">
        <v>0</v>
      </c>
      <c r="L573" s="76"/>
      <c r="M573" s="76">
        <v>0</v>
      </c>
      <c r="N573" s="76"/>
      <c r="O573" s="76">
        <v>46491.51</v>
      </c>
      <c r="P573" s="76"/>
      <c r="Q573" s="76">
        <v>509.16</v>
      </c>
      <c r="R573" s="76"/>
      <c r="S573" s="76">
        <v>73296.67</v>
      </c>
      <c r="T573" s="76"/>
      <c r="U573" s="76">
        <v>0</v>
      </c>
      <c r="V573" s="76"/>
      <c r="W573" s="76">
        <v>0</v>
      </c>
      <c r="X573" s="76"/>
      <c r="Y573" s="76">
        <v>0</v>
      </c>
      <c r="Z573" s="76"/>
      <c r="AA573" s="76">
        <v>0</v>
      </c>
      <c r="AB573" s="76"/>
      <c r="AC573" s="76">
        <v>0</v>
      </c>
      <c r="AD573" s="76"/>
      <c r="AE573" s="76">
        <v>0</v>
      </c>
      <c r="AF573" s="76"/>
      <c r="AG573" s="76">
        <v>0</v>
      </c>
      <c r="AH573"/>
      <c r="AI573" s="76">
        <f t="shared" si="8"/>
        <v>529735.59</v>
      </c>
      <c r="AJ573" s="10"/>
      <c r="AK573" s="21"/>
      <c r="AL573" s="21"/>
      <c r="AM573" s="21"/>
    </row>
    <row r="574" spans="1:39" ht="12" customHeight="1" x14ac:dyDescent="0.2">
      <c r="A574" s="1" t="s">
        <v>933</v>
      </c>
      <c r="C574" s="1" t="s">
        <v>283</v>
      </c>
      <c r="E574" s="76">
        <v>22499.56</v>
      </c>
      <c r="F574" s="76"/>
      <c r="G574" s="76">
        <v>0</v>
      </c>
      <c r="H574" s="76"/>
      <c r="I574" s="76">
        <v>11528.68</v>
      </c>
      <c r="J574" s="76"/>
      <c r="K574" s="76">
        <v>0</v>
      </c>
      <c r="L574" s="76"/>
      <c r="M574" s="76">
        <v>0</v>
      </c>
      <c r="N574" s="76"/>
      <c r="O574" s="76">
        <v>58833.35</v>
      </c>
      <c r="P574" s="76"/>
      <c r="Q574" s="76">
        <v>58.11</v>
      </c>
      <c r="R574" s="76"/>
      <c r="S574" s="76">
        <v>1564.2</v>
      </c>
      <c r="T574" s="76"/>
      <c r="U574" s="76">
        <v>0</v>
      </c>
      <c r="V574" s="76"/>
      <c r="W574" s="76">
        <v>0</v>
      </c>
      <c r="X574" s="76"/>
      <c r="Y574" s="76">
        <v>0</v>
      </c>
      <c r="Z574" s="76"/>
      <c r="AA574" s="76">
        <v>0</v>
      </c>
      <c r="AB574" s="76"/>
      <c r="AC574" s="76">
        <v>0</v>
      </c>
      <c r="AD574" s="76"/>
      <c r="AE574" s="76">
        <v>0</v>
      </c>
      <c r="AF574" s="76"/>
      <c r="AG574" s="76">
        <v>0</v>
      </c>
      <c r="AH574"/>
      <c r="AI574" s="76">
        <f t="shared" si="8"/>
        <v>94483.9</v>
      </c>
      <c r="AJ574" s="10"/>
      <c r="AK574" s="21"/>
      <c r="AL574" s="21"/>
      <c r="AM574" s="21"/>
    </row>
    <row r="575" spans="1:39" s="10" customFormat="1" ht="12" customHeight="1" x14ac:dyDescent="0.2">
      <c r="A575" s="15" t="s">
        <v>538</v>
      </c>
      <c r="B575" s="15"/>
      <c r="C575" s="15" t="s">
        <v>536</v>
      </c>
      <c r="D575" s="15"/>
      <c r="E575" s="76">
        <v>16879</v>
      </c>
      <c r="F575" s="76"/>
      <c r="G575" s="76">
        <v>121979</v>
      </c>
      <c r="H575" s="76"/>
      <c r="I575" s="76">
        <v>29207</v>
      </c>
      <c r="J575" s="76"/>
      <c r="K575" s="76">
        <v>0</v>
      </c>
      <c r="L575" s="76"/>
      <c r="M575" s="76">
        <v>17157</v>
      </c>
      <c r="N575" s="76"/>
      <c r="O575" s="76">
        <v>2902</v>
      </c>
      <c r="P575" s="76"/>
      <c r="Q575" s="76">
        <v>433</v>
      </c>
      <c r="R575" s="76"/>
      <c r="S575" s="76">
        <v>12367</v>
      </c>
      <c r="T575" s="76"/>
      <c r="U575" s="76">
        <v>0</v>
      </c>
      <c r="V575" s="76"/>
      <c r="W575" s="76">
        <v>0</v>
      </c>
      <c r="X575" s="76"/>
      <c r="Y575" s="76">
        <v>0</v>
      </c>
      <c r="Z575" s="76"/>
      <c r="AA575" s="76">
        <v>0</v>
      </c>
      <c r="AB575" s="76"/>
      <c r="AC575" s="76">
        <v>0</v>
      </c>
      <c r="AD575" s="76"/>
      <c r="AE575" s="76">
        <v>60</v>
      </c>
      <c r="AF575" s="76"/>
      <c r="AG575" s="76">
        <v>0</v>
      </c>
      <c r="AH575" s="77"/>
      <c r="AI575" s="76">
        <f t="shared" si="8"/>
        <v>200984</v>
      </c>
      <c r="AK575" s="1"/>
      <c r="AL575" s="1"/>
      <c r="AM575" s="1"/>
    </row>
    <row r="576" spans="1:39" ht="12" customHeight="1" x14ac:dyDescent="0.2">
      <c r="A576" s="1" t="s">
        <v>700</v>
      </c>
      <c r="C576" s="1" t="s">
        <v>464</v>
      </c>
      <c r="E576" s="76">
        <v>14550.87</v>
      </c>
      <c r="F576" s="76"/>
      <c r="G576" s="76">
        <v>0</v>
      </c>
      <c r="H576" s="76"/>
      <c r="I576" s="76">
        <v>15686</v>
      </c>
      <c r="J576" s="76"/>
      <c r="K576" s="76">
        <v>2432.59</v>
      </c>
      <c r="L576" s="76"/>
      <c r="M576" s="76">
        <v>0</v>
      </c>
      <c r="N576" s="76"/>
      <c r="O576" s="76">
        <v>16792.3</v>
      </c>
      <c r="P576" s="76"/>
      <c r="Q576" s="76">
        <v>26.63</v>
      </c>
      <c r="R576" s="76"/>
      <c r="S576" s="76">
        <v>110.31</v>
      </c>
      <c r="T576" s="76"/>
      <c r="U576" s="76">
        <v>0</v>
      </c>
      <c r="V576" s="76"/>
      <c r="W576" s="76">
        <v>0</v>
      </c>
      <c r="X576" s="76"/>
      <c r="Y576" s="76">
        <v>0</v>
      </c>
      <c r="Z576" s="76"/>
      <c r="AA576" s="76">
        <v>0</v>
      </c>
      <c r="AB576" s="76"/>
      <c r="AC576" s="76">
        <v>0</v>
      </c>
      <c r="AD576" s="76"/>
      <c r="AE576" s="76">
        <v>0</v>
      </c>
      <c r="AF576" s="76"/>
      <c r="AG576" s="76">
        <v>474.8</v>
      </c>
      <c r="AH576"/>
      <c r="AI576" s="76">
        <f t="shared" si="8"/>
        <v>50073.5</v>
      </c>
      <c r="AJ576" s="10"/>
    </row>
    <row r="577" spans="1:39" s="21" customFormat="1" ht="12" customHeight="1" x14ac:dyDescent="0.2">
      <c r="A577" s="1" t="s">
        <v>304</v>
      </c>
      <c r="B577" s="1"/>
      <c r="C577" s="1" t="s">
        <v>299</v>
      </c>
      <c r="D577" s="1"/>
      <c r="E577" s="76">
        <v>59823.17</v>
      </c>
      <c r="F577" s="76"/>
      <c r="G577" s="76">
        <v>255635.82</v>
      </c>
      <c r="H577" s="76"/>
      <c r="I577" s="76">
        <v>71116.86</v>
      </c>
      <c r="J577" s="76"/>
      <c r="K577" s="76">
        <v>373.38</v>
      </c>
      <c r="L577" s="76"/>
      <c r="M577" s="76">
        <v>1603</v>
      </c>
      <c r="N577" s="76"/>
      <c r="O577" s="76">
        <v>21168.6</v>
      </c>
      <c r="P577" s="76"/>
      <c r="Q577" s="76">
        <v>1277.72</v>
      </c>
      <c r="R577" s="76"/>
      <c r="S577" s="76">
        <v>15842.76</v>
      </c>
      <c r="T577" s="76"/>
      <c r="U577" s="76">
        <v>0</v>
      </c>
      <c r="V577" s="76"/>
      <c r="W577" s="76">
        <v>0</v>
      </c>
      <c r="X577" s="76"/>
      <c r="Y577" s="76">
        <v>0</v>
      </c>
      <c r="Z577" s="76"/>
      <c r="AA577" s="76">
        <v>0</v>
      </c>
      <c r="AB577" s="76"/>
      <c r="AC577" s="76">
        <v>0</v>
      </c>
      <c r="AD577" s="76"/>
      <c r="AE577" s="76">
        <v>0</v>
      </c>
      <c r="AF577" s="76"/>
      <c r="AG577" s="76">
        <v>0</v>
      </c>
      <c r="AH577"/>
      <c r="AI577" s="76">
        <f t="shared" si="8"/>
        <v>426841.30999999994</v>
      </c>
      <c r="AJ577" s="10"/>
      <c r="AK577" s="7"/>
      <c r="AL577" s="7"/>
      <c r="AM577" s="7"/>
    </row>
    <row r="578" spans="1:39" s="21" customFormat="1" ht="12" customHeight="1" x14ac:dyDescent="0.2">
      <c r="A578" s="1" t="s">
        <v>161</v>
      </c>
      <c r="B578" s="1"/>
      <c r="C578" s="1" t="s">
        <v>783</v>
      </c>
      <c r="D578" s="1"/>
      <c r="E578" s="76">
        <v>96000.71</v>
      </c>
      <c r="F578" s="76"/>
      <c r="G578" s="76">
        <v>0</v>
      </c>
      <c r="H578" s="76"/>
      <c r="I578" s="76">
        <v>225367.85</v>
      </c>
      <c r="J578" s="76"/>
      <c r="K578" s="76">
        <v>0</v>
      </c>
      <c r="L578" s="76"/>
      <c r="M578" s="76">
        <v>0</v>
      </c>
      <c r="N578" s="76"/>
      <c r="O578" s="76">
        <v>30823.05</v>
      </c>
      <c r="P578" s="76"/>
      <c r="Q578" s="76">
        <v>11659.11</v>
      </c>
      <c r="R578" s="76"/>
      <c r="S578" s="76">
        <v>0</v>
      </c>
      <c r="T578" s="76"/>
      <c r="U578" s="76">
        <v>0</v>
      </c>
      <c r="V578" s="76"/>
      <c r="W578" s="76">
        <v>0</v>
      </c>
      <c r="X578" s="76"/>
      <c r="Y578" s="76">
        <v>0</v>
      </c>
      <c r="Z578" s="76"/>
      <c r="AA578" s="76">
        <v>0</v>
      </c>
      <c r="AB578" s="76"/>
      <c r="AC578" s="76">
        <v>0</v>
      </c>
      <c r="AD578" s="76"/>
      <c r="AE578" s="76">
        <v>0</v>
      </c>
      <c r="AF578" s="76"/>
      <c r="AG578" s="76">
        <v>0</v>
      </c>
      <c r="AH578"/>
      <c r="AI578" s="76">
        <f t="shared" si="8"/>
        <v>363850.72</v>
      </c>
      <c r="AJ578" s="10"/>
      <c r="AK578" s="1"/>
      <c r="AL578" s="1"/>
      <c r="AM578" s="1"/>
    </row>
    <row r="579" spans="1:39" ht="12" customHeight="1" x14ac:dyDescent="0.2">
      <c r="A579" s="1" t="s">
        <v>934</v>
      </c>
      <c r="C579" s="1" t="s">
        <v>375</v>
      </c>
      <c r="E579" s="76">
        <v>2400.17</v>
      </c>
      <c r="F579" s="76"/>
      <c r="G579" s="76">
        <v>0</v>
      </c>
      <c r="H579" s="76"/>
      <c r="I579" s="76">
        <v>3537.73</v>
      </c>
      <c r="J579" s="76"/>
      <c r="K579" s="76">
        <v>0</v>
      </c>
      <c r="L579" s="76"/>
      <c r="M579" s="76">
        <v>0</v>
      </c>
      <c r="N579" s="76"/>
      <c r="O579" s="76">
        <v>0</v>
      </c>
      <c r="P579" s="76"/>
      <c r="Q579" s="76">
        <v>24.98</v>
      </c>
      <c r="R579" s="76"/>
      <c r="S579" s="76">
        <v>2843</v>
      </c>
      <c r="T579" s="76"/>
      <c r="U579" s="76">
        <v>0</v>
      </c>
      <c r="V579" s="76"/>
      <c r="W579" s="76">
        <v>0</v>
      </c>
      <c r="X579" s="76"/>
      <c r="Y579" s="76">
        <v>0</v>
      </c>
      <c r="Z579" s="76"/>
      <c r="AA579" s="76">
        <v>0</v>
      </c>
      <c r="AB579" s="76"/>
      <c r="AC579" s="76">
        <v>0</v>
      </c>
      <c r="AD579" s="76"/>
      <c r="AE579" s="76">
        <v>0</v>
      </c>
      <c r="AF579" s="76"/>
      <c r="AG579" s="76">
        <v>0</v>
      </c>
      <c r="AH579"/>
      <c r="AI579" s="76">
        <f t="shared" si="8"/>
        <v>8805.8799999999992</v>
      </c>
      <c r="AJ579" s="10"/>
    </row>
    <row r="580" spans="1:39" ht="12" customHeight="1" x14ac:dyDescent="0.2">
      <c r="A580" s="1" t="s">
        <v>46</v>
      </c>
      <c r="C580" s="1" t="s">
        <v>749</v>
      </c>
      <c r="E580" s="76">
        <v>68179.520000000004</v>
      </c>
      <c r="F580" s="76"/>
      <c r="G580" s="76">
        <v>114439.77</v>
      </c>
      <c r="H580" s="76"/>
      <c r="I580" s="76">
        <v>27524.42</v>
      </c>
      <c r="J580" s="76"/>
      <c r="K580" s="76">
        <v>0</v>
      </c>
      <c r="L580" s="76"/>
      <c r="M580" s="76">
        <v>0</v>
      </c>
      <c r="N580" s="76"/>
      <c r="O580" s="76">
        <v>2570.14</v>
      </c>
      <c r="P580" s="76"/>
      <c r="Q580" s="76">
        <v>0</v>
      </c>
      <c r="R580" s="76"/>
      <c r="S580" s="76">
        <v>1000</v>
      </c>
      <c r="T580" s="76"/>
      <c r="U580" s="76">
        <v>0</v>
      </c>
      <c r="V580" s="76"/>
      <c r="W580" s="76">
        <v>0</v>
      </c>
      <c r="X580" s="76"/>
      <c r="Y580" s="76">
        <v>0</v>
      </c>
      <c r="Z580" s="76"/>
      <c r="AA580" s="76">
        <v>0</v>
      </c>
      <c r="AB580" s="76"/>
      <c r="AC580" s="76">
        <v>0</v>
      </c>
      <c r="AD580" s="76"/>
      <c r="AE580" s="76">
        <v>11522.22</v>
      </c>
      <c r="AF580" s="76"/>
      <c r="AG580" s="76">
        <v>0</v>
      </c>
      <c r="AH580"/>
      <c r="AI580" s="76">
        <f t="shared" si="8"/>
        <v>225236.07000000004</v>
      </c>
      <c r="AJ580" s="10"/>
      <c r="AK580" s="7"/>
      <c r="AL580" s="7"/>
      <c r="AM580" s="7"/>
    </row>
    <row r="581" spans="1:39" s="21" customFormat="1" ht="12" customHeight="1" x14ac:dyDescent="0.2">
      <c r="A581" s="1" t="s">
        <v>906</v>
      </c>
      <c r="B581" s="1"/>
      <c r="C581" s="1" t="s">
        <v>790</v>
      </c>
      <c r="D581" s="1"/>
      <c r="E581" s="76">
        <v>2401</v>
      </c>
      <c r="F581" s="76"/>
      <c r="G581" s="76">
        <v>0</v>
      </c>
      <c r="H581" s="76"/>
      <c r="I581" s="76">
        <v>11969</v>
      </c>
      <c r="J581" s="76"/>
      <c r="K581" s="76">
        <v>0</v>
      </c>
      <c r="L581" s="76"/>
      <c r="M581" s="76">
        <v>0</v>
      </c>
      <c r="N581" s="76"/>
      <c r="O581" s="76">
        <v>220</v>
      </c>
      <c r="P581" s="76"/>
      <c r="Q581" s="76">
        <v>8</v>
      </c>
      <c r="R581" s="76"/>
      <c r="S581" s="76">
        <v>0</v>
      </c>
      <c r="T581" s="76"/>
      <c r="U581" s="76">
        <v>0</v>
      </c>
      <c r="V581" s="76"/>
      <c r="W581" s="76">
        <v>0</v>
      </c>
      <c r="X581" s="76"/>
      <c r="Y581" s="76">
        <v>0</v>
      </c>
      <c r="Z581" s="76"/>
      <c r="AA581" s="76">
        <v>0</v>
      </c>
      <c r="AB581" s="76"/>
      <c r="AC581" s="76">
        <v>0</v>
      </c>
      <c r="AD581" s="76"/>
      <c r="AE581" s="76">
        <v>0</v>
      </c>
      <c r="AF581" s="76"/>
      <c r="AG581" s="76">
        <v>0</v>
      </c>
      <c r="AH581" s="76"/>
      <c r="AI581" s="76">
        <f t="shared" si="8"/>
        <v>14598</v>
      </c>
      <c r="AJ581" s="10"/>
      <c r="AK581" s="7"/>
      <c r="AL581" s="7"/>
      <c r="AM581" s="7"/>
    </row>
    <row r="582" spans="1:39" s="21" customFormat="1" ht="12" customHeight="1" x14ac:dyDescent="0.2">
      <c r="A582" s="1" t="s">
        <v>25</v>
      </c>
      <c r="B582" s="1"/>
      <c r="C582" s="1" t="s">
        <v>742</v>
      </c>
      <c r="D582" s="1"/>
      <c r="E582" s="76">
        <v>10203.06</v>
      </c>
      <c r="F582" s="76"/>
      <c r="G582" s="76">
        <v>0</v>
      </c>
      <c r="H582" s="76"/>
      <c r="I582" s="76">
        <v>12806.24</v>
      </c>
      <c r="J582" s="76"/>
      <c r="K582" s="76">
        <v>0</v>
      </c>
      <c r="L582" s="76"/>
      <c r="M582" s="76">
        <v>0</v>
      </c>
      <c r="N582" s="76"/>
      <c r="O582" s="76">
        <v>25672</v>
      </c>
      <c r="P582" s="76"/>
      <c r="Q582" s="76">
        <v>24.47</v>
      </c>
      <c r="R582" s="76"/>
      <c r="S582" s="76">
        <v>0.01</v>
      </c>
      <c r="T582" s="76"/>
      <c r="U582" s="76">
        <v>0</v>
      </c>
      <c r="V582" s="76"/>
      <c r="W582" s="76">
        <v>0</v>
      </c>
      <c r="X582" s="76"/>
      <c r="Y582" s="76">
        <v>0</v>
      </c>
      <c r="Z582" s="76"/>
      <c r="AA582" s="76">
        <v>130000</v>
      </c>
      <c r="AB582" s="76"/>
      <c r="AC582" s="76">
        <v>0</v>
      </c>
      <c r="AD582" s="76"/>
      <c r="AE582" s="76">
        <v>0</v>
      </c>
      <c r="AF582" s="76"/>
      <c r="AG582" s="76">
        <v>0</v>
      </c>
      <c r="AH582"/>
      <c r="AI582" s="76">
        <f t="shared" si="8"/>
        <v>178705.78</v>
      </c>
      <c r="AJ582" s="10"/>
      <c r="AK582" s="7"/>
      <c r="AL582" s="7"/>
      <c r="AM582" s="7"/>
    </row>
    <row r="583" spans="1:39" ht="12" customHeight="1" x14ac:dyDescent="0.2">
      <c r="A583" s="1" t="s">
        <v>673</v>
      </c>
      <c r="C583" s="1" t="s">
        <v>666</v>
      </c>
      <c r="E583" s="76">
        <v>6686</v>
      </c>
      <c r="F583" s="76"/>
      <c r="G583" s="76">
        <v>0</v>
      </c>
      <c r="H583" s="76"/>
      <c r="I583" s="76">
        <v>24027</v>
      </c>
      <c r="J583" s="76"/>
      <c r="K583" s="76">
        <v>0</v>
      </c>
      <c r="L583" s="76"/>
      <c r="M583" s="76">
        <v>0</v>
      </c>
      <c r="N583" s="76"/>
      <c r="O583" s="76">
        <v>247</v>
      </c>
      <c r="P583" s="76"/>
      <c r="Q583" s="76">
        <v>398</v>
      </c>
      <c r="R583" s="76"/>
      <c r="S583" s="76">
        <v>14731</v>
      </c>
      <c r="T583" s="76"/>
      <c r="U583" s="76">
        <v>0</v>
      </c>
      <c r="V583" s="76"/>
      <c r="W583" s="76">
        <v>0</v>
      </c>
      <c r="X583" s="76"/>
      <c r="Y583" s="76">
        <v>0</v>
      </c>
      <c r="Z583" s="76"/>
      <c r="AA583" s="76">
        <v>0</v>
      </c>
      <c r="AB583" s="76"/>
      <c r="AC583" s="76">
        <v>0</v>
      </c>
      <c r="AD583" s="76"/>
      <c r="AE583" s="76">
        <v>0</v>
      </c>
      <c r="AF583" s="76"/>
      <c r="AG583" s="76">
        <v>0</v>
      </c>
      <c r="AH583" s="76"/>
      <c r="AI583" s="76">
        <f t="shared" si="8"/>
        <v>46089</v>
      </c>
      <c r="AJ583" s="10"/>
      <c r="AK583" s="22"/>
      <c r="AL583" s="22"/>
      <c r="AM583" s="22"/>
    </row>
    <row r="584" spans="1:39" ht="12" customHeight="1" x14ac:dyDescent="0.2">
      <c r="A584" s="1" t="s">
        <v>406</v>
      </c>
      <c r="C584" s="1" t="s">
        <v>403</v>
      </c>
      <c r="E584" s="76">
        <v>45967</v>
      </c>
      <c r="F584" s="76"/>
      <c r="G584" s="76">
        <v>15010</v>
      </c>
      <c r="H584" s="76"/>
      <c r="I584" s="76">
        <v>20859</v>
      </c>
      <c r="J584" s="76"/>
      <c r="K584" s="76">
        <v>0</v>
      </c>
      <c r="L584" s="76"/>
      <c r="M584" s="76">
        <v>0</v>
      </c>
      <c r="N584" s="76"/>
      <c r="O584" s="76">
        <v>39468</v>
      </c>
      <c r="P584" s="76"/>
      <c r="Q584" s="76">
        <v>889</v>
      </c>
      <c r="R584" s="76"/>
      <c r="S584" s="76">
        <v>14820</v>
      </c>
      <c r="T584" s="76"/>
      <c r="U584" s="76">
        <v>0</v>
      </c>
      <c r="V584" s="76"/>
      <c r="W584" s="76">
        <v>0</v>
      </c>
      <c r="X584" s="76"/>
      <c r="Y584" s="76">
        <v>0</v>
      </c>
      <c r="Z584" s="76"/>
      <c r="AA584" s="76">
        <v>0</v>
      </c>
      <c r="AB584" s="76"/>
      <c r="AC584" s="76">
        <v>0</v>
      </c>
      <c r="AD584" s="76"/>
      <c r="AE584" s="76">
        <v>0</v>
      </c>
      <c r="AF584" s="76"/>
      <c r="AG584" s="76">
        <v>0</v>
      </c>
      <c r="AH584" s="76"/>
      <c r="AI584" s="76">
        <f t="shared" si="8"/>
        <v>137013</v>
      </c>
      <c r="AJ584" s="10"/>
      <c r="AK584" s="21"/>
      <c r="AL584" s="21"/>
      <c r="AM584" s="21"/>
    </row>
    <row r="585" spans="1:39" s="15" customFormat="1" ht="12" customHeight="1" x14ac:dyDescent="0.2">
      <c r="A585" s="1" t="s">
        <v>574</v>
      </c>
      <c r="B585" s="1"/>
      <c r="C585" s="1" t="s">
        <v>572</v>
      </c>
      <c r="D585" s="1"/>
      <c r="E585" s="76">
        <v>11966.19</v>
      </c>
      <c r="F585" s="76"/>
      <c r="G585" s="76">
        <v>0</v>
      </c>
      <c r="H585" s="76"/>
      <c r="I585" s="76">
        <v>18650.86</v>
      </c>
      <c r="J585" s="76"/>
      <c r="K585" s="76">
        <v>0</v>
      </c>
      <c r="L585" s="76"/>
      <c r="M585" s="76">
        <v>5018</v>
      </c>
      <c r="N585" s="76"/>
      <c r="O585" s="76">
        <v>0</v>
      </c>
      <c r="P585" s="76"/>
      <c r="Q585" s="76">
        <v>63.13</v>
      </c>
      <c r="R585" s="76"/>
      <c r="S585" s="76">
        <v>2500</v>
      </c>
      <c r="T585" s="76"/>
      <c r="U585" s="76">
        <v>0</v>
      </c>
      <c r="V585" s="76"/>
      <c r="W585" s="76">
        <v>0</v>
      </c>
      <c r="X585" s="76"/>
      <c r="Y585" s="76">
        <v>0</v>
      </c>
      <c r="Z585" s="76"/>
      <c r="AA585" s="76">
        <v>0</v>
      </c>
      <c r="AB585" s="76"/>
      <c r="AC585" s="76">
        <v>0</v>
      </c>
      <c r="AD585" s="76"/>
      <c r="AE585" s="76">
        <v>0</v>
      </c>
      <c r="AF585" s="76"/>
      <c r="AG585" s="76">
        <v>0</v>
      </c>
      <c r="AH585"/>
      <c r="AI585" s="76">
        <f t="shared" si="8"/>
        <v>38198.18</v>
      </c>
      <c r="AJ585" s="10"/>
      <c r="AK585" s="1"/>
      <c r="AL585" s="1"/>
      <c r="AM585" s="1"/>
    </row>
    <row r="586" spans="1:39" ht="12" customHeight="1" x14ac:dyDescent="0.2">
      <c r="A586" s="1" t="s">
        <v>674</v>
      </c>
      <c r="C586" s="1" t="s">
        <v>659</v>
      </c>
      <c r="E586" s="76">
        <v>113551</v>
      </c>
      <c r="F586" s="76"/>
      <c r="G586" s="76">
        <v>0</v>
      </c>
      <c r="H586" s="76"/>
      <c r="I586" s="76">
        <v>24300</v>
      </c>
      <c r="J586" s="76"/>
      <c r="K586" s="76">
        <v>0</v>
      </c>
      <c r="L586" s="76"/>
      <c r="M586" s="76">
        <v>8150</v>
      </c>
      <c r="N586" s="76"/>
      <c r="O586" s="76">
        <v>24197</v>
      </c>
      <c r="P586" s="76"/>
      <c r="Q586" s="76">
        <v>0</v>
      </c>
      <c r="R586" s="76"/>
      <c r="S586" s="76">
        <v>17348</v>
      </c>
      <c r="T586" s="76"/>
      <c r="U586" s="76">
        <v>0</v>
      </c>
      <c r="V586" s="76"/>
      <c r="W586" s="76">
        <v>0</v>
      </c>
      <c r="X586" s="76"/>
      <c r="Y586" s="76">
        <v>0</v>
      </c>
      <c r="Z586" s="76"/>
      <c r="AA586" s="76">
        <v>6666</v>
      </c>
      <c r="AB586" s="76"/>
      <c r="AC586" s="76">
        <v>0</v>
      </c>
      <c r="AD586" s="76"/>
      <c r="AE586" s="76">
        <v>0</v>
      </c>
      <c r="AF586" s="76"/>
      <c r="AG586" s="76">
        <v>0</v>
      </c>
      <c r="AH586" s="76"/>
      <c r="AI586" s="76">
        <f t="shared" si="8"/>
        <v>194212</v>
      </c>
      <c r="AJ586" s="10"/>
    </row>
    <row r="587" spans="1:39" ht="12" customHeight="1" x14ac:dyDescent="0.2">
      <c r="A587" s="1" t="s">
        <v>461</v>
      </c>
      <c r="C587" s="1" t="s">
        <v>462</v>
      </c>
      <c r="E587" s="76">
        <v>1353304</v>
      </c>
      <c r="F587" s="76"/>
      <c r="G587" s="76">
        <v>0</v>
      </c>
      <c r="H587" s="76"/>
      <c r="I587" s="76">
        <v>182476</v>
      </c>
      <c r="J587" s="76"/>
      <c r="K587" s="76">
        <v>29</v>
      </c>
      <c r="L587" s="76"/>
      <c r="M587" s="76">
        <v>74307</v>
      </c>
      <c r="N587" s="76"/>
      <c r="O587" s="76">
        <v>69253</v>
      </c>
      <c r="P587" s="76"/>
      <c r="Q587" s="76">
        <v>55</v>
      </c>
      <c r="R587" s="76"/>
      <c r="S587" s="76">
        <v>13189</v>
      </c>
      <c r="T587" s="76"/>
      <c r="U587" s="76">
        <v>0</v>
      </c>
      <c r="V587" s="76"/>
      <c r="W587" s="76">
        <v>0</v>
      </c>
      <c r="X587" s="76"/>
      <c r="Y587" s="76">
        <v>0</v>
      </c>
      <c r="Z587" s="76"/>
      <c r="AA587" s="76">
        <v>0</v>
      </c>
      <c r="AB587" s="76"/>
      <c r="AC587" s="76">
        <v>0</v>
      </c>
      <c r="AD587" s="76"/>
      <c r="AE587" s="76">
        <v>0</v>
      </c>
      <c r="AF587" s="76"/>
      <c r="AG587" s="76">
        <v>0</v>
      </c>
      <c r="AH587" s="86"/>
      <c r="AI587" s="76">
        <f t="shared" si="8"/>
        <v>1692613</v>
      </c>
      <c r="AJ587" s="10"/>
    </row>
    <row r="588" spans="1:39" s="21" customFormat="1" ht="12" customHeight="1" x14ac:dyDescent="0.2">
      <c r="A588" s="1" t="s">
        <v>90</v>
      </c>
      <c r="B588" s="1"/>
      <c r="C588" s="1" t="s">
        <v>762</v>
      </c>
      <c r="D588" s="1"/>
      <c r="E588" s="76">
        <v>7459.94</v>
      </c>
      <c r="F588" s="76"/>
      <c r="G588" s="76">
        <v>0</v>
      </c>
      <c r="H588" s="76"/>
      <c r="I588" s="76">
        <v>14587.83</v>
      </c>
      <c r="J588" s="76"/>
      <c r="K588" s="76">
        <v>0</v>
      </c>
      <c r="L588" s="76"/>
      <c r="M588" s="76">
        <v>0</v>
      </c>
      <c r="N588" s="76"/>
      <c r="O588" s="76">
        <v>0</v>
      </c>
      <c r="P588" s="76"/>
      <c r="Q588" s="76">
        <v>937.26</v>
      </c>
      <c r="R588" s="76"/>
      <c r="S588" s="76">
        <v>103699.27</v>
      </c>
      <c r="T588" s="76"/>
      <c r="U588" s="76">
        <v>0</v>
      </c>
      <c r="V588" s="76"/>
      <c r="W588" s="76">
        <v>0</v>
      </c>
      <c r="X588" s="76"/>
      <c r="Y588" s="76">
        <v>0</v>
      </c>
      <c r="Z588" s="76"/>
      <c r="AA588" s="76">
        <v>0</v>
      </c>
      <c r="AB588" s="76"/>
      <c r="AC588" s="76">
        <v>0</v>
      </c>
      <c r="AD588" s="76"/>
      <c r="AE588" s="76">
        <v>0</v>
      </c>
      <c r="AF588" s="76"/>
      <c r="AG588" s="76">
        <v>0</v>
      </c>
      <c r="AH588"/>
      <c r="AI588" s="76">
        <f t="shared" si="8"/>
        <v>126684.3</v>
      </c>
      <c r="AJ588" s="10"/>
      <c r="AK588" s="1"/>
      <c r="AL588" s="1"/>
      <c r="AM588" s="1"/>
    </row>
    <row r="589" spans="1:39" s="21" customFormat="1" ht="12" customHeight="1" x14ac:dyDescent="0.2">
      <c r="A589" s="1" t="s">
        <v>27</v>
      </c>
      <c r="B589" s="1"/>
      <c r="C589" s="1" t="s">
        <v>743</v>
      </c>
      <c r="D589" s="1"/>
      <c r="E589" s="76">
        <v>30826.46</v>
      </c>
      <c r="F589" s="76"/>
      <c r="G589" s="76">
        <v>0</v>
      </c>
      <c r="H589" s="76"/>
      <c r="I589" s="76">
        <v>24791.14</v>
      </c>
      <c r="J589" s="76"/>
      <c r="K589" s="76">
        <v>0</v>
      </c>
      <c r="L589" s="76"/>
      <c r="M589" s="76">
        <v>10910</v>
      </c>
      <c r="N589" s="76"/>
      <c r="O589" s="76">
        <v>26021.29</v>
      </c>
      <c r="P589" s="76"/>
      <c r="Q589" s="76">
        <v>181.69</v>
      </c>
      <c r="R589" s="76"/>
      <c r="S589" s="76">
        <v>464.2</v>
      </c>
      <c r="T589" s="76"/>
      <c r="U589" s="76">
        <v>0</v>
      </c>
      <c r="V589" s="76"/>
      <c r="W589" s="76">
        <v>0</v>
      </c>
      <c r="X589" s="76"/>
      <c r="Y589" s="76">
        <v>0</v>
      </c>
      <c r="Z589" s="76"/>
      <c r="AA589" s="76">
        <v>0</v>
      </c>
      <c r="AB589" s="76"/>
      <c r="AC589" s="76">
        <v>0</v>
      </c>
      <c r="AD589" s="76"/>
      <c r="AE589" s="76">
        <v>448.15</v>
      </c>
      <c r="AF589" s="76"/>
      <c r="AG589" s="76">
        <v>0</v>
      </c>
      <c r="AH589"/>
      <c r="AI589" s="76">
        <f t="shared" si="8"/>
        <v>93642.930000000008</v>
      </c>
      <c r="AJ589" s="10"/>
      <c r="AK589" s="7"/>
      <c r="AL589" s="7"/>
      <c r="AM589" s="7"/>
    </row>
    <row r="590" spans="1:39" ht="12" customHeight="1" x14ac:dyDescent="0.2">
      <c r="A590" s="1" t="s">
        <v>154</v>
      </c>
      <c r="C590" s="1" t="s">
        <v>781</v>
      </c>
      <c r="E590" s="76">
        <v>260350.83</v>
      </c>
      <c r="F590" s="76"/>
      <c r="G590" s="76">
        <v>1035294.44</v>
      </c>
      <c r="H590" s="76"/>
      <c r="I590" s="76">
        <v>94508.86</v>
      </c>
      <c r="J590" s="76"/>
      <c r="K590" s="76">
        <v>0</v>
      </c>
      <c r="L590" s="76"/>
      <c r="M590" s="76">
        <v>0</v>
      </c>
      <c r="N590" s="76"/>
      <c r="O590" s="76">
        <v>4433</v>
      </c>
      <c r="P590" s="76"/>
      <c r="Q590" s="76">
        <v>8501.15</v>
      </c>
      <c r="R590" s="76"/>
      <c r="S590" s="76">
        <v>304748.05</v>
      </c>
      <c r="T590" s="76"/>
      <c r="U590" s="76">
        <v>0</v>
      </c>
      <c r="V590" s="76"/>
      <c r="W590" s="76">
        <v>0</v>
      </c>
      <c r="X590" s="76"/>
      <c r="Y590" s="76">
        <v>0</v>
      </c>
      <c r="Z590" s="76"/>
      <c r="AA590" s="76">
        <v>0</v>
      </c>
      <c r="AB590" s="76"/>
      <c r="AC590" s="76">
        <v>0</v>
      </c>
      <c r="AD590" s="76"/>
      <c r="AE590" s="76">
        <v>0</v>
      </c>
      <c r="AF590" s="76"/>
      <c r="AG590" s="76">
        <v>0</v>
      </c>
      <c r="AH590"/>
      <c r="AI590" s="76">
        <f t="shared" si="8"/>
        <v>1707836.33</v>
      </c>
      <c r="AJ590" s="10"/>
    </row>
    <row r="591" spans="1:39" s="21" customFormat="1" ht="12" customHeight="1" x14ac:dyDescent="0.2">
      <c r="A591" s="1" t="s">
        <v>20</v>
      </c>
      <c r="B591" s="1"/>
      <c r="C591" s="1" t="s">
        <v>741</v>
      </c>
      <c r="D591" s="1"/>
      <c r="E591" s="76">
        <v>326763.44</v>
      </c>
      <c r="F591" s="76"/>
      <c r="G591" s="76">
        <v>0</v>
      </c>
      <c r="H591" s="76"/>
      <c r="I591" s="76">
        <v>224622.84</v>
      </c>
      <c r="J591" s="76"/>
      <c r="K591" s="76">
        <v>0</v>
      </c>
      <c r="L591" s="76"/>
      <c r="M591" s="76">
        <v>102406.24</v>
      </c>
      <c r="N591" s="76"/>
      <c r="O591" s="76">
        <v>10135.5</v>
      </c>
      <c r="P591" s="76"/>
      <c r="Q591" s="76">
        <v>604.82000000000005</v>
      </c>
      <c r="R591" s="76"/>
      <c r="S591" s="76">
        <v>3038.06</v>
      </c>
      <c r="T591" s="76"/>
      <c r="U591" s="76">
        <v>0</v>
      </c>
      <c r="V591" s="76"/>
      <c r="W591" s="76">
        <v>0</v>
      </c>
      <c r="X591" s="76"/>
      <c r="Y591" s="76">
        <v>0</v>
      </c>
      <c r="Z591" s="76"/>
      <c r="AA591" s="76">
        <v>254.54</v>
      </c>
      <c r="AB591" s="76"/>
      <c r="AC591" s="76">
        <v>0</v>
      </c>
      <c r="AD591" s="76"/>
      <c r="AE591" s="76">
        <v>0</v>
      </c>
      <c r="AF591" s="76"/>
      <c r="AG591" s="76">
        <v>0</v>
      </c>
      <c r="AH591"/>
      <c r="AI591" s="76">
        <f t="shared" si="8"/>
        <v>667825.44000000006</v>
      </c>
      <c r="AJ591" s="10"/>
      <c r="AK591" s="22"/>
      <c r="AL591" s="22"/>
      <c r="AM591" s="22"/>
    </row>
    <row r="592" spans="1:39" s="21" customFormat="1" ht="12" customHeight="1" x14ac:dyDescent="0.2">
      <c r="A592" s="1" t="s">
        <v>187</v>
      </c>
      <c r="B592" s="1"/>
      <c r="C592" s="1" t="s">
        <v>433</v>
      </c>
      <c r="D592" s="1"/>
      <c r="E592" s="76">
        <v>45868.45</v>
      </c>
      <c r="F592" s="76"/>
      <c r="G592" s="76">
        <v>0</v>
      </c>
      <c r="H592" s="76"/>
      <c r="I592" s="76">
        <v>19876.46</v>
      </c>
      <c r="J592" s="76"/>
      <c r="K592" s="76">
        <v>0</v>
      </c>
      <c r="L592" s="76"/>
      <c r="M592" s="76">
        <v>0</v>
      </c>
      <c r="N592" s="76"/>
      <c r="O592" s="76">
        <v>0</v>
      </c>
      <c r="P592" s="76"/>
      <c r="Q592" s="76">
        <v>261.14999999999998</v>
      </c>
      <c r="R592" s="76"/>
      <c r="S592" s="76">
        <v>383.43</v>
      </c>
      <c r="T592" s="76"/>
      <c r="U592" s="76">
        <v>0</v>
      </c>
      <c r="V592" s="76"/>
      <c r="W592" s="76">
        <v>0</v>
      </c>
      <c r="X592" s="76"/>
      <c r="Y592" s="76">
        <v>0</v>
      </c>
      <c r="Z592" s="76"/>
      <c r="AA592" s="76">
        <v>0</v>
      </c>
      <c r="AB592" s="76"/>
      <c r="AC592" s="76">
        <v>0</v>
      </c>
      <c r="AD592" s="76"/>
      <c r="AE592" s="76">
        <v>6001</v>
      </c>
      <c r="AF592" s="76"/>
      <c r="AG592" s="76">
        <v>0</v>
      </c>
      <c r="AH592"/>
      <c r="AI592" s="76">
        <f t="shared" si="8"/>
        <v>72390.489999999991</v>
      </c>
      <c r="AJ592" s="10"/>
      <c r="AK592" s="1"/>
      <c r="AL592" s="1"/>
      <c r="AM592" s="1"/>
    </row>
    <row r="593" spans="1:39" s="21" customFormat="1" ht="12" customHeight="1" x14ac:dyDescent="0.2">
      <c r="A593" s="1" t="s">
        <v>345</v>
      </c>
      <c r="B593" s="1"/>
      <c r="C593" s="1" t="s">
        <v>343</v>
      </c>
      <c r="D593" s="1"/>
      <c r="E593" s="76">
        <v>69029.61</v>
      </c>
      <c r="F593" s="76"/>
      <c r="G593" s="76">
        <v>438214.15</v>
      </c>
      <c r="H593" s="76"/>
      <c r="I593" s="76">
        <v>31852.22</v>
      </c>
      <c r="J593" s="76"/>
      <c r="K593" s="76">
        <v>0</v>
      </c>
      <c r="L593" s="76"/>
      <c r="M593" s="76">
        <v>0</v>
      </c>
      <c r="N593" s="76"/>
      <c r="O593" s="76">
        <v>85216.4</v>
      </c>
      <c r="P593" s="76"/>
      <c r="Q593" s="76">
        <v>57.77</v>
      </c>
      <c r="R593" s="76"/>
      <c r="S593" s="76">
        <v>25756.43</v>
      </c>
      <c r="T593" s="76"/>
      <c r="U593" s="76">
        <v>0</v>
      </c>
      <c r="V593" s="76"/>
      <c r="W593" s="76">
        <v>0</v>
      </c>
      <c r="X593" s="76"/>
      <c r="Y593" s="76">
        <v>0</v>
      </c>
      <c r="Z593" s="76"/>
      <c r="AA593" s="76">
        <v>0</v>
      </c>
      <c r="AB593" s="76"/>
      <c r="AC593" s="76">
        <v>0</v>
      </c>
      <c r="AD593" s="76"/>
      <c r="AE593" s="76">
        <v>0</v>
      </c>
      <c r="AF593" s="76"/>
      <c r="AG593" s="76">
        <v>0</v>
      </c>
      <c r="AH593"/>
      <c r="AI593" s="76">
        <f t="shared" si="8"/>
        <v>650126.58000000007</v>
      </c>
      <c r="AJ593" s="10"/>
      <c r="AK593" s="22"/>
      <c r="AL593" s="22"/>
      <c r="AM593" s="22"/>
    </row>
    <row r="594" spans="1:39" s="21" customFormat="1" ht="12" customHeight="1" x14ac:dyDescent="0.2">
      <c r="A594" s="1" t="s">
        <v>452</v>
      </c>
      <c r="B594" s="1"/>
      <c r="C594" s="1" t="s">
        <v>451</v>
      </c>
      <c r="D594" s="1"/>
      <c r="E594" s="76">
        <v>552130</v>
      </c>
      <c r="F594" s="76"/>
      <c r="G594" s="76">
        <v>3536867</v>
      </c>
      <c r="H594" s="76"/>
      <c r="I594" s="76">
        <v>372208</v>
      </c>
      <c r="J594" s="76"/>
      <c r="K594" s="76">
        <v>0</v>
      </c>
      <c r="L594" s="76"/>
      <c r="M594" s="76">
        <v>110110</v>
      </c>
      <c r="N594" s="76"/>
      <c r="O594" s="76">
        <v>553132</v>
      </c>
      <c r="P594" s="76"/>
      <c r="Q594" s="76">
        <v>576</v>
      </c>
      <c r="R594" s="76"/>
      <c r="S594" s="76">
        <v>85729</v>
      </c>
      <c r="T594" s="76"/>
      <c r="U594" s="76">
        <v>0</v>
      </c>
      <c r="V594" s="76"/>
      <c r="W594" s="76">
        <v>0</v>
      </c>
      <c r="X594" s="76"/>
      <c r="Y594" s="76">
        <v>0</v>
      </c>
      <c r="Z594" s="76"/>
      <c r="AA594" s="76">
        <v>0</v>
      </c>
      <c r="AB594" s="76"/>
      <c r="AC594" s="76">
        <v>0</v>
      </c>
      <c r="AD594" s="76"/>
      <c r="AE594" s="76">
        <v>0</v>
      </c>
      <c r="AF594" s="76"/>
      <c r="AG594" s="76">
        <v>0</v>
      </c>
      <c r="AH594" s="76"/>
      <c r="AI594" s="76">
        <f t="shared" si="8"/>
        <v>5210752</v>
      </c>
      <c r="AJ594" s="10"/>
      <c r="AK594" s="1"/>
      <c r="AL594" s="1"/>
      <c r="AM594" s="1"/>
    </row>
    <row r="595" spans="1:39" s="21" customFormat="1" ht="12" customHeight="1" x14ac:dyDescent="0.2">
      <c r="A595" s="1" t="s">
        <v>31</v>
      </c>
      <c r="B595" s="1"/>
      <c r="C595" s="1" t="s">
        <v>744</v>
      </c>
      <c r="D595" s="1"/>
      <c r="E595" s="76">
        <v>5804.49</v>
      </c>
      <c r="F595" s="76"/>
      <c r="G595" s="76">
        <v>20077.2</v>
      </c>
      <c r="H595" s="76"/>
      <c r="I595" s="76">
        <v>20927.34</v>
      </c>
      <c r="J595" s="76"/>
      <c r="K595" s="76">
        <v>0</v>
      </c>
      <c r="L595" s="76"/>
      <c r="M595" s="76">
        <v>9503</v>
      </c>
      <c r="N595" s="76"/>
      <c r="O595" s="76">
        <v>745.98</v>
      </c>
      <c r="P595" s="76"/>
      <c r="Q595" s="76">
        <v>82.81</v>
      </c>
      <c r="R595" s="76"/>
      <c r="S595" s="76">
        <v>3900</v>
      </c>
      <c r="T595" s="76"/>
      <c r="U595" s="76">
        <v>0</v>
      </c>
      <c r="V595" s="76"/>
      <c r="W595" s="76">
        <v>0</v>
      </c>
      <c r="X595" s="76"/>
      <c r="Y595" s="76">
        <v>150</v>
      </c>
      <c r="Z595" s="76"/>
      <c r="AA595" s="76">
        <v>0</v>
      </c>
      <c r="AB595" s="76"/>
      <c r="AC595" s="76">
        <v>0</v>
      </c>
      <c r="AD595" s="76"/>
      <c r="AE595" s="76">
        <v>253.59</v>
      </c>
      <c r="AF595" s="76"/>
      <c r="AG595" s="76">
        <v>1075</v>
      </c>
      <c r="AH595" s="81"/>
      <c r="AI595" s="76">
        <f t="shared" si="8"/>
        <v>62519.409999999996</v>
      </c>
      <c r="AJ595" s="10"/>
      <c r="AK595" s="22"/>
      <c r="AL595" s="22"/>
      <c r="AM595" s="22"/>
    </row>
    <row r="596" spans="1:39" s="21" customFormat="1" ht="12" customHeight="1" x14ac:dyDescent="0.2">
      <c r="A596" s="1" t="s">
        <v>56</v>
      </c>
      <c r="B596" s="1"/>
      <c r="C596" s="1" t="s">
        <v>753</v>
      </c>
      <c r="D596" s="1"/>
      <c r="E596" s="76">
        <v>17418.63</v>
      </c>
      <c r="F596" s="76"/>
      <c r="G596" s="76">
        <v>71368.38</v>
      </c>
      <c r="H596" s="76"/>
      <c r="I596" s="76">
        <v>54345.19</v>
      </c>
      <c r="J596" s="76"/>
      <c r="K596" s="76">
        <v>0</v>
      </c>
      <c r="L596" s="76"/>
      <c r="M596" s="76">
        <v>5905</v>
      </c>
      <c r="N596" s="76"/>
      <c r="O596" s="76">
        <v>5396.95</v>
      </c>
      <c r="P596" s="76"/>
      <c r="Q596" s="76">
        <v>1015.99</v>
      </c>
      <c r="R596" s="76"/>
      <c r="S596" s="76">
        <v>5581.56</v>
      </c>
      <c r="T596" s="76"/>
      <c r="U596" s="76">
        <v>0</v>
      </c>
      <c r="V596" s="76"/>
      <c r="W596" s="76">
        <v>0</v>
      </c>
      <c r="X596" s="76"/>
      <c r="Y596" s="76">
        <v>0</v>
      </c>
      <c r="Z596" s="76"/>
      <c r="AA596" s="76">
        <v>0</v>
      </c>
      <c r="AB596" s="76"/>
      <c r="AC596" s="76">
        <v>18575</v>
      </c>
      <c r="AD596" s="76"/>
      <c r="AE596" s="76">
        <v>0</v>
      </c>
      <c r="AF596" s="76"/>
      <c r="AG596" s="76">
        <v>0</v>
      </c>
      <c r="AH596"/>
      <c r="AI596" s="76">
        <f t="shared" si="8"/>
        <v>179606.7</v>
      </c>
      <c r="AJ596" s="10"/>
      <c r="AK596" s="7"/>
      <c r="AL596" s="7"/>
      <c r="AM596" s="7"/>
    </row>
    <row r="597" spans="1:39" s="21" customFormat="1" ht="12" customHeight="1" x14ac:dyDescent="0.2">
      <c r="A597" s="1" t="s">
        <v>521</v>
      </c>
      <c r="B597" s="1"/>
      <c r="C597" s="1" t="s">
        <v>519</v>
      </c>
      <c r="D597" s="1"/>
      <c r="E597" s="76">
        <v>22636</v>
      </c>
      <c r="F597" s="76"/>
      <c r="G597" s="76">
        <v>0</v>
      </c>
      <c r="H597" s="76"/>
      <c r="I597" s="76">
        <v>21172</v>
      </c>
      <c r="J597" s="76"/>
      <c r="K597" s="76">
        <v>0</v>
      </c>
      <c r="L597" s="76"/>
      <c r="M597" s="76">
        <v>0</v>
      </c>
      <c r="N597" s="76"/>
      <c r="O597" s="76">
        <v>5476</v>
      </c>
      <c r="P597" s="76"/>
      <c r="Q597" s="76">
        <v>0</v>
      </c>
      <c r="R597" s="76"/>
      <c r="S597" s="76">
        <v>26374</v>
      </c>
      <c r="T597" s="76"/>
      <c r="U597" s="76">
        <v>0</v>
      </c>
      <c r="V597" s="76"/>
      <c r="W597" s="76">
        <v>0</v>
      </c>
      <c r="X597" s="76"/>
      <c r="Y597" s="76">
        <v>0</v>
      </c>
      <c r="Z597" s="76"/>
      <c r="AA597" s="76">
        <v>0</v>
      </c>
      <c r="AB597" s="76"/>
      <c r="AC597" s="76">
        <v>0</v>
      </c>
      <c r="AD597" s="76"/>
      <c r="AE597" s="76">
        <v>20814</v>
      </c>
      <c r="AF597" s="76"/>
      <c r="AG597" s="76">
        <v>0</v>
      </c>
      <c r="AH597" s="76"/>
      <c r="AI597" s="76">
        <f t="shared" si="8"/>
        <v>96472</v>
      </c>
      <c r="AJ597" s="10"/>
      <c r="AK597" s="1"/>
      <c r="AL597" s="1"/>
      <c r="AM597" s="1"/>
    </row>
    <row r="598" spans="1:39" ht="12" customHeight="1" x14ac:dyDescent="0.2">
      <c r="A598" s="15" t="s">
        <v>897</v>
      </c>
      <c r="B598" s="15"/>
      <c r="C598" s="15" t="s">
        <v>588</v>
      </c>
      <c r="D598" s="15"/>
      <c r="E598" s="76">
        <v>36562</v>
      </c>
      <c r="F598" s="76"/>
      <c r="G598" s="76">
        <v>243240</v>
      </c>
      <c r="H598" s="76"/>
      <c r="I598" s="76">
        <v>55598</v>
      </c>
      <c r="J598" s="76"/>
      <c r="K598" s="76">
        <v>8929</v>
      </c>
      <c r="L598" s="76"/>
      <c r="M598" s="76">
        <v>42685</v>
      </c>
      <c r="N598" s="76"/>
      <c r="O598" s="76">
        <v>10336</v>
      </c>
      <c r="P598" s="76"/>
      <c r="Q598" s="76">
        <v>0</v>
      </c>
      <c r="R598" s="76"/>
      <c r="S598" s="76">
        <v>31977</v>
      </c>
      <c r="T598" s="76"/>
      <c r="U598" s="76">
        <v>0</v>
      </c>
      <c r="V598" s="76"/>
      <c r="W598" s="76">
        <v>0</v>
      </c>
      <c r="X598" s="76"/>
      <c r="Y598" s="76">
        <v>0</v>
      </c>
      <c r="Z598" s="76"/>
      <c r="AA598" s="76">
        <v>0</v>
      </c>
      <c r="AB598" s="76"/>
      <c r="AC598" s="76">
        <v>0</v>
      </c>
      <c r="AD598" s="76"/>
      <c r="AE598" s="76">
        <v>0</v>
      </c>
      <c r="AF598" s="76"/>
      <c r="AG598" s="76">
        <v>0</v>
      </c>
      <c r="AH598" s="77"/>
      <c r="AI598" s="76">
        <f t="shared" si="8"/>
        <v>429327</v>
      </c>
      <c r="AJ598" s="24"/>
      <c r="AK598" s="15"/>
      <c r="AL598" s="15"/>
      <c r="AM598" s="15"/>
    </row>
    <row r="599" spans="1:39" ht="12" customHeight="1" x14ac:dyDescent="0.2">
      <c r="A599" s="1" t="s">
        <v>554</v>
      </c>
      <c r="C599" s="1" t="s">
        <v>549</v>
      </c>
      <c r="E599" s="76">
        <v>924253</v>
      </c>
      <c r="F599" s="76"/>
      <c r="G599" s="76">
        <v>485662</v>
      </c>
      <c r="H599" s="76"/>
      <c r="I599" s="76">
        <v>399011</v>
      </c>
      <c r="J599" s="76"/>
      <c r="K599" s="76">
        <v>260</v>
      </c>
      <c r="L599" s="76"/>
      <c r="M599" s="76">
        <v>11362</v>
      </c>
      <c r="N599" s="76"/>
      <c r="O599" s="76">
        <v>68015</v>
      </c>
      <c r="P599" s="76"/>
      <c r="Q599" s="76">
        <v>1804</v>
      </c>
      <c r="R599" s="76"/>
      <c r="S599" s="76">
        <v>6215</v>
      </c>
      <c r="T599" s="76"/>
      <c r="U599" s="76">
        <v>0</v>
      </c>
      <c r="V599" s="76"/>
      <c r="W599" s="76">
        <v>0</v>
      </c>
      <c r="X599" s="76"/>
      <c r="Y599" s="76">
        <v>47581</v>
      </c>
      <c r="Z599" s="76"/>
      <c r="AA599" s="76">
        <v>0</v>
      </c>
      <c r="AB599" s="76"/>
      <c r="AC599" s="76">
        <v>0</v>
      </c>
      <c r="AD599" s="76"/>
      <c r="AE599" s="76">
        <v>0</v>
      </c>
      <c r="AF599" s="76"/>
      <c r="AG599" s="76">
        <v>0</v>
      </c>
      <c r="AH599" s="76"/>
      <c r="AI599" s="76">
        <f t="shared" si="8"/>
        <v>1944163</v>
      </c>
      <c r="AJ599" s="10"/>
    </row>
    <row r="600" spans="1:39" s="36" customFormat="1" ht="12" customHeight="1" x14ac:dyDescent="0.2">
      <c r="A600" s="1" t="s">
        <v>941</v>
      </c>
      <c r="B600" s="1"/>
      <c r="C600" s="1" t="s">
        <v>378</v>
      </c>
      <c r="D600" s="1"/>
      <c r="E600" s="76">
        <v>614733</v>
      </c>
      <c r="F600" s="76"/>
      <c r="G600" s="76">
        <v>1353478</v>
      </c>
      <c r="H600" s="76"/>
      <c r="I600" s="76">
        <v>153965</v>
      </c>
      <c r="J600" s="76"/>
      <c r="K600" s="76">
        <v>0</v>
      </c>
      <c r="L600" s="76"/>
      <c r="M600" s="76">
        <v>330620</v>
      </c>
      <c r="N600" s="76"/>
      <c r="O600" s="76">
        <v>79422</v>
      </c>
      <c r="P600" s="76"/>
      <c r="Q600" s="76">
        <v>10399</v>
      </c>
      <c r="R600" s="76"/>
      <c r="S600" s="76">
        <v>20684</v>
      </c>
      <c r="T600" s="76"/>
      <c r="U600" s="76">
        <v>0</v>
      </c>
      <c r="V600" s="76"/>
      <c r="W600" s="76">
        <v>0</v>
      </c>
      <c r="X600" s="76"/>
      <c r="Y600" s="76">
        <v>2428</v>
      </c>
      <c r="Z600" s="76"/>
      <c r="AA600" s="76">
        <v>0</v>
      </c>
      <c r="AB600" s="76"/>
      <c r="AC600" s="76">
        <v>0</v>
      </c>
      <c r="AD600" s="76"/>
      <c r="AE600" s="76">
        <v>0</v>
      </c>
      <c r="AF600" s="76"/>
      <c r="AG600" s="76">
        <v>0</v>
      </c>
      <c r="AH600" s="76"/>
      <c r="AI600" s="76">
        <f t="shared" si="8"/>
        <v>2565729</v>
      </c>
      <c r="AJ600" s="10"/>
      <c r="AK600" s="1"/>
      <c r="AL600" s="1"/>
      <c r="AM600" s="1"/>
    </row>
    <row r="601" spans="1:39" s="21" customFormat="1" ht="12" customHeight="1" x14ac:dyDescent="0.2">
      <c r="A601" s="1" t="s">
        <v>411</v>
      </c>
      <c r="B601" s="1"/>
      <c r="C601" s="1" t="s">
        <v>409</v>
      </c>
      <c r="D601" s="1"/>
      <c r="E601" s="76">
        <v>7105</v>
      </c>
      <c r="F601" s="76"/>
      <c r="G601" s="76">
        <v>0</v>
      </c>
      <c r="H601" s="76"/>
      <c r="I601" s="76">
        <v>16795</v>
      </c>
      <c r="J601" s="76"/>
      <c r="K601" s="76">
        <v>0</v>
      </c>
      <c r="L601" s="76"/>
      <c r="M601" s="76">
        <v>0</v>
      </c>
      <c r="N601" s="76"/>
      <c r="O601" s="76">
        <v>0</v>
      </c>
      <c r="P601" s="76"/>
      <c r="Q601" s="76">
        <v>0</v>
      </c>
      <c r="R601" s="76"/>
      <c r="S601" s="76">
        <v>79</v>
      </c>
      <c r="T601" s="76"/>
      <c r="U601" s="76">
        <v>0</v>
      </c>
      <c r="V601" s="76"/>
      <c r="W601" s="76">
        <v>0</v>
      </c>
      <c r="X601" s="76"/>
      <c r="Y601" s="76">
        <v>0</v>
      </c>
      <c r="Z601" s="76"/>
      <c r="AA601" s="76">
        <v>0</v>
      </c>
      <c r="AB601" s="76"/>
      <c r="AC601" s="76">
        <v>0</v>
      </c>
      <c r="AD601" s="76"/>
      <c r="AE601" s="76">
        <v>0</v>
      </c>
      <c r="AF601" s="76"/>
      <c r="AG601" s="76">
        <v>0</v>
      </c>
      <c r="AH601" s="76"/>
      <c r="AI601" s="76">
        <f t="shared" si="8"/>
        <v>23979</v>
      </c>
      <c r="AJ601" s="10"/>
    </row>
    <row r="602" spans="1:39" ht="12" customHeight="1" x14ac:dyDescent="0.2">
      <c r="A602" s="15" t="s">
        <v>594</v>
      </c>
      <c r="B602" s="15"/>
      <c r="C602" s="15" t="s">
        <v>588</v>
      </c>
      <c r="D602" s="15"/>
      <c r="E602" s="76">
        <v>54310</v>
      </c>
      <c r="F602" s="76"/>
      <c r="G602" s="76">
        <v>516612</v>
      </c>
      <c r="H602" s="76"/>
      <c r="I602" s="76">
        <v>64274</v>
      </c>
      <c r="J602" s="76"/>
      <c r="K602" s="76">
        <v>0</v>
      </c>
      <c r="L602" s="76"/>
      <c r="M602" s="76">
        <v>2975</v>
      </c>
      <c r="N602" s="76"/>
      <c r="O602" s="76">
        <v>26223</v>
      </c>
      <c r="P602" s="76"/>
      <c r="Q602" s="76">
        <v>344</v>
      </c>
      <c r="R602" s="76"/>
      <c r="S602" s="76">
        <v>3024</v>
      </c>
      <c r="T602" s="76"/>
      <c r="U602" s="76">
        <v>0</v>
      </c>
      <c r="V602" s="76"/>
      <c r="W602" s="76">
        <v>0</v>
      </c>
      <c r="X602" s="76"/>
      <c r="Y602" s="76">
        <v>0</v>
      </c>
      <c r="Z602" s="76"/>
      <c r="AA602" s="76">
        <v>0</v>
      </c>
      <c r="AB602" s="76"/>
      <c r="AC602" s="76">
        <v>0</v>
      </c>
      <c r="AD602" s="76"/>
      <c r="AE602" s="76">
        <v>0</v>
      </c>
      <c r="AF602" s="76"/>
      <c r="AG602" s="76">
        <v>18856</v>
      </c>
      <c r="AH602" s="77"/>
      <c r="AI602" s="76">
        <f t="shared" ref="AI602:AI668" si="9">SUM(E602:AG602)</f>
        <v>686618</v>
      </c>
      <c r="AJ602" s="24"/>
      <c r="AK602" s="15"/>
      <c r="AL602" s="15"/>
      <c r="AM602" s="15"/>
    </row>
    <row r="603" spans="1:39" ht="12" hidden="1" customHeight="1" x14ac:dyDescent="0.2">
      <c r="A603" s="15" t="s">
        <v>502</v>
      </c>
      <c r="B603" s="15"/>
      <c r="C603" s="15" t="s">
        <v>500</v>
      </c>
      <c r="D603" s="15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7"/>
      <c r="AI603" s="76">
        <f t="shared" si="9"/>
        <v>0</v>
      </c>
      <c r="AJ603" s="24"/>
      <c r="AK603" s="15"/>
      <c r="AL603" s="15"/>
      <c r="AM603" s="15"/>
    </row>
    <row r="604" spans="1:39" s="21" customFormat="1" ht="12" customHeight="1" x14ac:dyDescent="0.2">
      <c r="A604" s="1" t="s">
        <v>935</v>
      </c>
      <c r="B604" s="1"/>
      <c r="C604" s="1" t="s">
        <v>518</v>
      </c>
      <c r="D604" s="1"/>
      <c r="E604" s="76">
        <v>9068.27</v>
      </c>
      <c r="F604" s="76"/>
      <c r="G604" s="76">
        <v>0</v>
      </c>
      <c r="H604" s="76"/>
      <c r="I604" s="76">
        <v>13610.42</v>
      </c>
      <c r="J604" s="76"/>
      <c r="K604" s="76">
        <v>0</v>
      </c>
      <c r="L604" s="76"/>
      <c r="M604" s="76">
        <v>0</v>
      </c>
      <c r="N604" s="76"/>
      <c r="O604" s="76">
        <v>1260.81</v>
      </c>
      <c r="P604" s="76"/>
      <c r="Q604" s="76">
        <v>90.05</v>
      </c>
      <c r="R604" s="76"/>
      <c r="S604" s="76">
        <v>25</v>
      </c>
      <c r="T604" s="76"/>
      <c r="U604" s="76">
        <v>0</v>
      </c>
      <c r="V604" s="76"/>
      <c r="W604" s="76">
        <v>0</v>
      </c>
      <c r="X604" s="76"/>
      <c r="Y604" s="76">
        <v>0</v>
      </c>
      <c r="Z604" s="76"/>
      <c r="AA604" s="76">
        <v>0</v>
      </c>
      <c r="AB604" s="76"/>
      <c r="AC604" s="76">
        <v>0</v>
      </c>
      <c r="AD604" s="76"/>
      <c r="AE604" s="76">
        <v>0</v>
      </c>
      <c r="AF604" s="76"/>
      <c r="AG604" s="76">
        <v>0</v>
      </c>
      <c r="AH604"/>
      <c r="AI604" s="76">
        <f t="shared" si="9"/>
        <v>24054.550000000003</v>
      </c>
      <c r="AJ604" s="10"/>
      <c r="AK604" s="1"/>
      <c r="AL604" s="1"/>
      <c r="AM604" s="1"/>
    </row>
    <row r="605" spans="1:39" s="15" customFormat="1" ht="12" customHeight="1" x14ac:dyDescent="0.2">
      <c r="A605" s="1"/>
      <c r="B605" s="1"/>
      <c r="C605" s="1"/>
      <c r="D605" s="1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10"/>
      <c r="AK605" s="21"/>
      <c r="AL605" s="21"/>
      <c r="AM605" s="21"/>
    </row>
    <row r="606" spans="1:39" s="15" customFormat="1" ht="12" customHeight="1" x14ac:dyDescent="0.2">
      <c r="A606" s="1"/>
      <c r="B606" s="1"/>
      <c r="C606" s="1"/>
      <c r="D606" s="1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 t="s">
        <v>850</v>
      </c>
      <c r="AJ606" s="10"/>
      <c r="AK606" s="21"/>
      <c r="AL606" s="21"/>
      <c r="AM606" s="21"/>
    </row>
    <row r="607" spans="1:39" s="15" customFormat="1" ht="12" customHeight="1" x14ac:dyDescent="0.2">
      <c r="A607" s="1"/>
      <c r="B607" s="1"/>
      <c r="C607" s="1"/>
      <c r="D607" s="1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10"/>
      <c r="AK607" s="21"/>
      <c r="AL607" s="21"/>
      <c r="AM607" s="21"/>
    </row>
    <row r="608" spans="1:39" s="21" customFormat="1" ht="12" customHeight="1" x14ac:dyDescent="0.2">
      <c r="A608" s="15" t="s">
        <v>898</v>
      </c>
      <c r="B608" s="15"/>
      <c r="C608" s="15" t="s">
        <v>451</v>
      </c>
      <c r="D608" s="15"/>
      <c r="E608" s="88">
        <v>75995</v>
      </c>
      <c r="F608" s="88"/>
      <c r="G608" s="88">
        <v>217303</v>
      </c>
      <c r="H608" s="88"/>
      <c r="I608" s="88">
        <v>367925</v>
      </c>
      <c r="J608" s="88"/>
      <c r="K608" s="88">
        <v>0</v>
      </c>
      <c r="L608" s="88"/>
      <c r="M608" s="88">
        <v>72895</v>
      </c>
      <c r="N608" s="88"/>
      <c r="O608" s="88">
        <v>32141</v>
      </c>
      <c r="P608" s="88"/>
      <c r="Q608" s="88">
        <v>2086</v>
      </c>
      <c r="R608" s="88"/>
      <c r="S608" s="88">
        <v>28099</v>
      </c>
      <c r="T608" s="88"/>
      <c r="U608" s="88">
        <v>0</v>
      </c>
      <c r="V608" s="88"/>
      <c r="W608" s="88">
        <v>0</v>
      </c>
      <c r="X608" s="88"/>
      <c r="Y608" s="88">
        <v>0</v>
      </c>
      <c r="Z608" s="88"/>
      <c r="AA608" s="88">
        <v>0</v>
      </c>
      <c r="AB608" s="88"/>
      <c r="AC608" s="88">
        <v>20000</v>
      </c>
      <c r="AD608" s="88"/>
      <c r="AE608" s="88">
        <v>0</v>
      </c>
      <c r="AF608" s="88"/>
      <c r="AG608" s="88">
        <v>0</v>
      </c>
      <c r="AH608" s="88"/>
      <c r="AI608" s="88">
        <f t="shared" si="9"/>
        <v>816444</v>
      </c>
      <c r="AJ608" s="24"/>
      <c r="AK608" s="30"/>
      <c r="AL608" s="30"/>
      <c r="AM608" s="30"/>
    </row>
    <row r="609" spans="1:39" ht="12" customHeight="1" x14ac:dyDescent="0.2">
      <c r="A609" s="15" t="s">
        <v>268</v>
      </c>
      <c r="B609" s="15"/>
      <c r="C609" s="15" t="s">
        <v>793</v>
      </c>
      <c r="D609" s="15"/>
      <c r="E609" s="76">
        <v>67164.95</v>
      </c>
      <c r="F609" s="76"/>
      <c r="G609" s="76">
        <v>272880.88</v>
      </c>
      <c r="H609" s="76"/>
      <c r="I609" s="76">
        <v>42899.71</v>
      </c>
      <c r="J609" s="76"/>
      <c r="K609" s="76">
        <v>148</v>
      </c>
      <c r="L609" s="76"/>
      <c r="M609" s="76">
        <v>143021.74</v>
      </c>
      <c r="N609" s="76"/>
      <c r="O609" s="76">
        <v>57712.44</v>
      </c>
      <c r="P609" s="76"/>
      <c r="Q609" s="76">
        <v>914.53</v>
      </c>
      <c r="R609" s="76"/>
      <c r="S609" s="76">
        <v>1123</v>
      </c>
      <c r="T609" s="76"/>
      <c r="U609" s="76">
        <v>0</v>
      </c>
      <c r="V609" s="76"/>
      <c r="W609" s="76">
        <v>0</v>
      </c>
      <c r="X609" s="76"/>
      <c r="Y609" s="76">
        <v>0</v>
      </c>
      <c r="Z609" s="76"/>
      <c r="AA609" s="76">
        <v>0</v>
      </c>
      <c r="AB609" s="76"/>
      <c r="AC609" s="76">
        <v>0</v>
      </c>
      <c r="AD609" s="76"/>
      <c r="AE609" s="76">
        <v>551.79999999999995</v>
      </c>
      <c r="AF609" s="76"/>
      <c r="AG609" s="76">
        <v>0</v>
      </c>
      <c r="AH609"/>
      <c r="AI609" s="76">
        <f t="shared" si="9"/>
        <v>586417.05000000005</v>
      </c>
      <c r="AJ609" s="24"/>
      <c r="AK609" s="30"/>
      <c r="AL609" s="30"/>
      <c r="AM609" s="30"/>
    </row>
    <row r="610" spans="1:39" ht="12" customHeight="1" x14ac:dyDescent="0.2">
      <c r="A610" s="1" t="s">
        <v>821</v>
      </c>
      <c r="C610" s="1" t="s">
        <v>746</v>
      </c>
      <c r="E610" s="76">
        <v>69161.53</v>
      </c>
      <c r="F610" s="76"/>
      <c r="G610" s="76">
        <v>476710.97</v>
      </c>
      <c r="H610" s="76"/>
      <c r="I610" s="76">
        <v>72924.929999999993</v>
      </c>
      <c r="J610" s="76"/>
      <c r="K610" s="76">
        <v>0</v>
      </c>
      <c r="L610" s="76"/>
      <c r="M610" s="76">
        <v>51.2</v>
      </c>
      <c r="N610" s="76"/>
      <c r="O610" s="76">
        <v>53211.9</v>
      </c>
      <c r="P610" s="76"/>
      <c r="Q610" s="76">
        <v>421.15</v>
      </c>
      <c r="R610" s="76"/>
      <c r="S610" s="76">
        <v>14248.85</v>
      </c>
      <c r="T610" s="76"/>
      <c r="U610" s="76">
        <v>0</v>
      </c>
      <c r="V610" s="76"/>
      <c r="W610" s="76">
        <v>0</v>
      </c>
      <c r="X610" s="76"/>
      <c r="Y610" s="76">
        <v>0</v>
      </c>
      <c r="Z610" s="76"/>
      <c r="AA610" s="76">
        <v>0</v>
      </c>
      <c r="AB610" s="76"/>
      <c r="AC610" s="76">
        <v>0</v>
      </c>
      <c r="AD610" s="76"/>
      <c r="AE610" s="76">
        <v>0</v>
      </c>
      <c r="AF610" s="76"/>
      <c r="AG610" s="76">
        <v>0</v>
      </c>
      <c r="AH610"/>
      <c r="AI610" s="76">
        <f t="shared" si="9"/>
        <v>686730.52999999991</v>
      </c>
      <c r="AJ610" s="10"/>
      <c r="AK610" s="7"/>
      <c r="AL610" s="7"/>
      <c r="AM610" s="7"/>
    </row>
    <row r="611" spans="1:39" ht="12" customHeight="1" x14ac:dyDescent="0.2">
      <c r="A611" s="1" t="s">
        <v>582</v>
      </c>
      <c r="C611" s="1" t="s">
        <v>581</v>
      </c>
      <c r="E611" s="76">
        <v>121935.46</v>
      </c>
      <c r="F611" s="76"/>
      <c r="G611" s="76">
        <v>1029410.79</v>
      </c>
      <c r="H611" s="76"/>
      <c r="I611" s="76">
        <v>37844.639999999999</v>
      </c>
      <c r="J611" s="76"/>
      <c r="K611" s="76">
        <v>0</v>
      </c>
      <c r="L611" s="76"/>
      <c r="M611" s="76">
        <v>0</v>
      </c>
      <c r="N611" s="76"/>
      <c r="O611" s="76">
        <v>114520.81</v>
      </c>
      <c r="P611" s="76"/>
      <c r="Q611" s="76">
        <v>2658.73</v>
      </c>
      <c r="R611" s="76"/>
      <c r="S611" s="76">
        <v>125800.61</v>
      </c>
      <c r="T611" s="76"/>
      <c r="U611" s="76">
        <v>0</v>
      </c>
      <c r="V611" s="76"/>
      <c r="W611" s="76">
        <v>0</v>
      </c>
      <c r="X611" s="76"/>
      <c r="Y611" s="76">
        <v>0</v>
      </c>
      <c r="Z611" s="76"/>
      <c r="AA611" s="76">
        <v>0</v>
      </c>
      <c r="AB611" s="76"/>
      <c r="AC611" s="76">
        <v>0</v>
      </c>
      <c r="AD611" s="76"/>
      <c r="AE611" s="76">
        <v>0</v>
      </c>
      <c r="AF611" s="76"/>
      <c r="AG611" s="76">
        <v>0</v>
      </c>
      <c r="AH611"/>
      <c r="AI611" s="76">
        <f t="shared" si="9"/>
        <v>1432171.04</v>
      </c>
      <c r="AJ611" s="10"/>
    </row>
    <row r="612" spans="1:39" ht="12" customHeight="1" x14ac:dyDescent="0.2">
      <c r="A612" s="1" t="s">
        <v>128</v>
      </c>
      <c r="C612" s="1" t="s">
        <v>437</v>
      </c>
      <c r="E612" s="76">
        <v>200456.59</v>
      </c>
      <c r="F612" s="76"/>
      <c r="G612" s="76">
        <v>0</v>
      </c>
      <c r="H612" s="76"/>
      <c r="I612" s="76">
        <v>56059.839999999997</v>
      </c>
      <c r="J612" s="76"/>
      <c r="K612" s="76">
        <v>0</v>
      </c>
      <c r="L612" s="76"/>
      <c r="M612" s="76">
        <v>3360</v>
      </c>
      <c r="N612" s="76"/>
      <c r="O612" s="76">
        <v>120286.91</v>
      </c>
      <c r="P612" s="76"/>
      <c r="Q612" s="76">
        <v>0</v>
      </c>
      <c r="R612" s="76"/>
      <c r="S612" s="76">
        <v>1352.07</v>
      </c>
      <c r="T612" s="76"/>
      <c r="U612" s="76">
        <v>0</v>
      </c>
      <c r="V612" s="76"/>
      <c r="W612" s="76">
        <v>0</v>
      </c>
      <c r="X612" s="76"/>
      <c r="Y612" s="76">
        <v>0</v>
      </c>
      <c r="Z612" s="76"/>
      <c r="AA612" s="76">
        <v>0</v>
      </c>
      <c r="AB612" s="76"/>
      <c r="AC612" s="76">
        <v>0</v>
      </c>
      <c r="AD612" s="76"/>
      <c r="AE612" s="76">
        <v>0</v>
      </c>
      <c r="AF612" s="76"/>
      <c r="AG612" s="76">
        <v>0</v>
      </c>
      <c r="AH612"/>
      <c r="AI612" s="76">
        <f t="shared" si="9"/>
        <v>381515.41</v>
      </c>
      <c r="AJ612" s="10"/>
    </row>
    <row r="613" spans="1:39" s="21" customFormat="1" ht="12" customHeight="1" x14ac:dyDescent="0.2">
      <c r="A613" s="1" t="s">
        <v>369</v>
      </c>
      <c r="B613" s="1"/>
      <c r="C613" s="1" t="s">
        <v>368</v>
      </c>
      <c r="D613" s="1"/>
      <c r="E613" s="76">
        <v>403432</v>
      </c>
      <c r="F613" s="76"/>
      <c r="G613" s="76">
        <v>1392944</v>
      </c>
      <c r="H613" s="76"/>
      <c r="I613" s="76">
        <v>733573</v>
      </c>
      <c r="J613" s="76"/>
      <c r="K613" s="76">
        <v>0</v>
      </c>
      <c r="L613" s="76"/>
      <c r="M613" s="76">
        <v>104316</v>
      </c>
      <c r="N613" s="76"/>
      <c r="O613" s="76">
        <v>72573</v>
      </c>
      <c r="P613" s="76"/>
      <c r="Q613" s="76">
        <v>73</v>
      </c>
      <c r="R613" s="76"/>
      <c r="S613" s="76">
        <v>9375</v>
      </c>
      <c r="T613" s="76"/>
      <c r="U613" s="76">
        <v>0</v>
      </c>
      <c r="V613" s="76"/>
      <c r="W613" s="76">
        <v>0</v>
      </c>
      <c r="X613" s="76"/>
      <c r="Y613" s="76">
        <v>0</v>
      </c>
      <c r="Z613" s="76"/>
      <c r="AA613" s="76">
        <v>250000</v>
      </c>
      <c r="AB613" s="76"/>
      <c r="AC613" s="76">
        <v>0</v>
      </c>
      <c r="AD613" s="76"/>
      <c r="AE613" s="76">
        <v>0</v>
      </c>
      <c r="AF613" s="76"/>
      <c r="AG613" s="76">
        <v>0</v>
      </c>
      <c r="AH613" s="76"/>
      <c r="AI613" s="76">
        <f t="shared" si="9"/>
        <v>2966286</v>
      </c>
      <c r="AJ613" s="36"/>
      <c r="AK613" s="1"/>
      <c r="AL613" s="1"/>
      <c r="AM613" s="1"/>
    </row>
    <row r="614" spans="1:39" s="15" customFormat="1" ht="12" customHeight="1" x14ac:dyDescent="0.2">
      <c r="A614" s="1" t="s">
        <v>522</v>
      </c>
      <c r="B614" s="1"/>
      <c r="C614" s="1" t="s">
        <v>523</v>
      </c>
      <c r="D614" s="1"/>
      <c r="E614" s="76">
        <v>1780.31</v>
      </c>
      <c r="F614" s="76"/>
      <c r="G614" s="76">
        <v>0</v>
      </c>
      <c r="H614" s="76"/>
      <c r="I614" s="76">
        <v>17046.18</v>
      </c>
      <c r="J614" s="76"/>
      <c r="K614" s="76">
        <v>0</v>
      </c>
      <c r="L614" s="76"/>
      <c r="M614" s="76">
        <v>1355</v>
      </c>
      <c r="N614" s="76"/>
      <c r="O614" s="76">
        <v>300</v>
      </c>
      <c r="P614" s="76"/>
      <c r="Q614" s="76">
        <v>898.94</v>
      </c>
      <c r="R614" s="76"/>
      <c r="S614" s="76">
        <v>0</v>
      </c>
      <c r="T614" s="76"/>
      <c r="U614" s="76">
        <v>0</v>
      </c>
      <c r="V614" s="76"/>
      <c r="W614" s="76">
        <v>0</v>
      </c>
      <c r="X614" s="76"/>
      <c r="Y614" s="76">
        <v>0</v>
      </c>
      <c r="Z614" s="76"/>
      <c r="AA614" s="76">
        <v>0</v>
      </c>
      <c r="AB614" s="76"/>
      <c r="AC614" s="76">
        <v>0</v>
      </c>
      <c r="AD614" s="76"/>
      <c r="AE614" s="76">
        <v>0</v>
      </c>
      <c r="AF614" s="76"/>
      <c r="AG614" s="76">
        <v>0</v>
      </c>
      <c r="AH614" s="81"/>
      <c r="AI614" s="76">
        <f t="shared" si="9"/>
        <v>21380.43</v>
      </c>
      <c r="AJ614" s="36"/>
      <c r="AK614" s="1"/>
      <c r="AL614" s="1"/>
      <c r="AM614" s="1"/>
    </row>
    <row r="615" spans="1:39" s="21" customFormat="1" ht="12" customHeight="1" x14ac:dyDescent="0.2">
      <c r="A615" s="1" t="s">
        <v>142</v>
      </c>
      <c r="B615" s="1"/>
      <c r="C615" s="1" t="s">
        <v>778</v>
      </c>
      <c r="D615" s="1"/>
      <c r="E615" s="76">
        <v>6634.6</v>
      </c>
      <c r="F615" s="76"/>
      <c r="G615" s="76">
        <v>3039.27</v>
      </c>
      <c r="H615" s="76"/>
      <c r="I615" s="76">
        <v>26527.81</v>
      </c>
      <c r="J615" s="76"/>
      <c r="K615" s="76">
        <v>0</v>
      </c>
      <c r="L615" s="76"/>
      <c r="M615" s="76">
        <v>2100</v>
      </c>
      <c r="N615" s="76"/>
      <c r="O615" s="76">
        <v>0</v>
      </c>
      <c r="P615" s="76"/>
      <c r="Q615" s="76">
        <v>68.989999999999995</v>
      </c>
      <c r="R615" s="76"/>
      <c r="S615" s="76">
        <v>1400.02</v>
      </c>
      <c r="T615" s="76"/>
      <c r="U615" s="76">
        <v>0</v>
      </c>
      <c r="V615" s="76"/>
      <c r="W615" s="76">
        <v>0</v>
      </c>
      <c r="X615" s="76"/>
      <c r="Y615" s="76">
        <v>0</v>
      </c>
      <c r="Z615" s="76"/>
      <c r="AA615" s="76">
        <v>0</v>
      </c>
      <c r="AB615" s="76"/>
      <c r="AC615" s="76">
        <v>0</v>
      </c>
      <c r="AD615" s="76"/>
      <c r="AE615" s="76">
        <v>0</v>
      </c>
      <c r="AF615" s="76"/>
      <c r="AG615" s="76">
        <v>0</v>
      </c>
      <c r="AH615"/>
      <c r="AI615" s="76">
        <f t="shared" si="9"/>
        <v>39770.689999999995</v>
      </c>
      <c r="AJ615" s="36"/>
      <c r="AK615" s="1"/>
      <c r="AL615" s="1"/>
      <c r="AM615" s="1"/>
    </row>
    <row r="616" spans="1:39" ht="12" customHeight="1" x14ac:dyDescent="0.2">
      <c r="A616" s="1" t="s">
        <v>35</v>
      </c>
      <c r="C616" s="1" t="s">
        <v>292</v>
      </c>
      <c r="E616" s="76">
        <v>30861.17</v>
      </c>
      <c r="F616" s="76"/>
      <c r="G616" s="76">
        <v>0</v>
      </c>
      <c r="H616" s="76"/>
      <c r="I616" s="76">
        <v>3912.93</v>
      </c>
      <c r="J616" s="76"/>
      <c r="K616" s="76">
        <v>0</v>
      </c>
      <c r="L616" s="76"/>
      <c r="M616" s="76">
        <v>4472.6000000000004</v>
      </c>
      <c r="N616" s="76"/>
      <c r="O616" s="76">
        <v>18996.150000000001</v>
      </c>
      <c r="P616" s="76"/>
      <c r="Q616" s="76">
        <v>4722.0200000000004</v>
      </c>
      <c r="R616" s="76"/>
      <c r="S616" s="76">
        <v>21235</v>
      </c>
      <c r="T616" s="76"/>
      <c r="U616" s="76">
        <v>0</v>
      </c>
      <c r="V616" s="76"/>
      <c r="W616" s="76">
        <v>0</v>
      </c>
      <c r="X616" s="76"/>
      <c r="Y616" s="76">
        <v>0</v>
      </c>
      <c r="Z616" s="76"/>
      <c r="AA616" s="76">
        <v>0</v>
      </c>
      <c r="AB616" s="76"/>
      <c r="AC616" s="76">
        <v>0</v>
      </c>
      <c r="AD616" s="76"/>
      <c r="AE616" s="76">
        <v>0</v>
      </c>
      <c r="AF616" s="76"/>
      <c r="AG616" s="76">
        <v>0</v>
      </c>
      <c r="AH616"/>
      <c r="AI616" s="76">
        <f t="shared" si="9"/>
        <v>84199.87</v>
      </c>
      <c r="AJ616" s="36"/>
    </row>
    <row r="617" spans="1:39" ht="12" customHeight="1" x14ac:dyDescent="0.2">
      <c r="A617" s="1" t="s">
        <v>217</v>
      </c>
      <c r="C617" s="1" t="s">
        <v>529</v>
      </c>
      <c r="E617" s="76">
        <v>9208.39</v>
      </c>
      <c r="F617" s="76"/>
      <c r="G617" s="76">
        <v>0</v>
      </c>
      <c r="H617" s="76"/>
      <c r="I617" s="76">
        <v>6499.67</v>
      </c>
      <c r="J617" s="76"/>
      <c r="K617" s="76">
        <v>0</v>
      </c>
      <c r="L617" s="76"/>
      <c r="M617" s="76">
        <v>0</v>
      </c>
      <c r="N617" s="76"/>
      <c r="O617" s="76">
        <v>608.05999999999995</v>
      </c>
      <c r="P617" s="76"/>
      <c r="Q617" s="76">
        <v>85.8</v>
      </c>
      <c r="R617" s="76"/>
      <c r="S617" s="76">
        <v>13354.93</v>
      </c>
      <c r="T617" s="76"/>
      <c r="U617" s="76">
        <v>0</v>
      </c>
      <c r="V617" s="76"/>
      <c r="W617" s="76">
        <v>0</v>
      </c>
      <c r="X617" s="76"/>
      <c r="Y617" s="76">
        <v>0</v>
      </c>
      <c r="Z617" s="76"/>
      <c r="AA617" s="76">
        <v>0</v>
      </c>
      <c r="AB617" s="76"/>
      <c r="AC617" s="76">
        <v>0</v>
      </c>
      <c r="AD617" s="76"/>
      <c r="AE617" s="76">
        <v>0</v>
      </c>
      <c r="AF617" s="76"/>
      <c r="AG617" s="76">
        <v>0</v>
      </c>
      <c r="AH617"/>
      <c r="AI617" s="76">
        <f t="shared" si="9"/>
        <v>29756.85</v>
      </c>
      <c r="AJ617" s="36"/>
    </row>
    <row r="618" spans="1:39" ht="12" customHeight="1" x14ac:dyDescent="0.2">
      <c r="A618" s="1" t="s">
        <v>827</v>
      </c>
      <c r="C618" s="1" t="s">
        <v>243</v>
      </c>
      <c r="E618" s="76">
        <v>12661.25</v>
      </c>
      <c r="F618" s="76"/>
      <c r="G618" s="76">
        <v>0</v>
      </c>
      <c r="H618" s="76"/>
      <c r="I618" s="76">
        <v>12621.84</v>
      </c>
      <c r="J618" s="76"/>
      <c r="K618" s="76">
        <v>0</v>
      </c>
      <c r="L618" s="76"/>
      <c r="M618" s="76">
        <v>0</v>
      </c>
      <c r="N618" s="76"/>
      <c r="O618" s="76">
        <v>771.31</v>
      </c>
      <c r="P618" s="76"/>
      <c r="Q618" s="76">
        <v>46.94</v>
      </c>
      <c r="R618" s="76"/>
      <c r="S618" s="76">
        <v>540</v>
      </c>
      <c r="T618" s="76"/>
      <c r="U618" s="76">
        <v>0</v>
      </c>
      <c r="V618" s="76"/>
      <c r="W618" s="76">
        <v>0</v>
      </c>
      <c r="X618" s="76"/>
      <c r="Y618" s="76">
        <v>0</v>
      </c>
      <c r="Z618" s="76"/>
      <c r="AA618" s="76">
        <v>0</v>
      </c>
      <c r="AB618" s="76"/>
      <c r="AC618" s="76">
        <v>0</v>
      </c>
      <c r="AD618" s="76"/>
      <c r="AE618" s="76">
        <v>0</v>
      </c>
      <c r="AF618" s="76"/>
      <c r="AG618" s="76">
        <v>200</v>
      </c>
      <c r="AH618"/>
      <c r="AI618" s="76">
        <f t="shared" si="9"/>
        <v>26841.34</v>
      </c>
      <c r="AJ618" s="36"/>
    </row>
    <row r="619" spans="1:39" s="21" customFormat="1" ht="12" customHeight="1" x14ac:dyDescent="0.2">
      <c r="A619" s="1" t="s">
        <v>843</v>
      </c>
      <c r="B619" s="1"/>
      <c r="C619" s="1" t="s">
        <v>781</v>
      </c>
      <c r="D619" s="1"/>
      <c r="E619" s="76">
        <v>34843.160000000003</v>
      </c>
      <c r="F619" s="76"/>
      <c r="G619" s="76">
        <v>0</v>
      </c>
      <c r="H619" s="76"/>
      <c r="I619" s="76">
        <v>91075.520000000004</v>
      </c>
      <c r="J619" s="76"/>
      <c r="K619" s="76">
        <v>0</v>
      </c>
      <c r="L619" s="76"/>
      <c r="M619" s="76">
        <v>0</v>
      </c>
      <c r="N619" s="76"/>
      <c r="O619" s="76">
        <v>20008.02</v>
      </c>
      <c r="P619" s="76"/>
      <c r="Q619" s="76">
        <v>2398.48</v>
      </c>
      <c r="R619" s="76"/>
      <c r="S619" s="76">
        <v>8298.93</v>
      </c>
      <c r="T619" s="76"/>
      <c r="U619" s="76">
        <v>0</v>
      </c>
      <c r="V619" s="76"/>
      <c r="W619" s="76">
        <v>0</v>
      </c>
      <c r="X619" s="76"/>
      <c r="Y619" s="76">
        <v>0</v>
      </c>
      <c r="Z619" s="76"/>
      <c r="AA619" s="76">
        <v>0</v>
      </c>
      <c r="AB619" s="76"/>
      <c r="AC619" s="76">
        <v>0</v>
      </c>
      <c r="AD619" s="76"/>
      <c r="AE619" s="76">
        <v>12420</v>
      </c>
      <c r="AF619" s="76"/>
      <c r="AG619" s="76">
        <v>0</v>
      </c>
      <c r="AH619"/>
      <c r="AI619" s="76">
        <f t="shared" si="9"/>
        <v>169044.11000000002</v>
      </c>
      <c r="AJ619" s="36"/>
      <c r="AK619" s="1"/>
      <c r="AL619" s="1"/>
      <c r="AM619" s="1"/>
    </row>
    <row r="620" spans="1:39" ht="12" customHeight="1" x14ac:dyDescent="0.2">
      <c r="A620" s="1" t="s">
        <v>6</v>
      </c>
      <c r="C620" s="1" t="s">
        <v>737</v>
      </c>
      <c r="E620" s="76">
        <v>70876.960000000006</v>
      </c>
      <c r="F620" s="76"/>
      <c r="G620" s="76">
        <v>0</v>
      </c>
      <c r="H620" s="76"/>
      <c r="I620" s="76">
        <v>97182.720000000001</v>
      </c>
      <c r="J620" s="76"/>
      <c r="K620" s="76">
        <v>0</v>
      </c>
      <c r="L620" s="76"/>
      <c r="M620" s="76">
        <v>3461.68</v>
      </c>
      <c r="N620" s="76"/>
      <c r="O620" s="76">
        <v>25584.26</v>
      </c>
      <c r="P620" s="76"/>
      <c r="Q620" s="76">
        <v>247.47</v>
      </c>
      <c r="R620" s="76"/>
      <c r="S620" s="76">
        <v>11111.84</v>
      </c>
      <c r="T620" s="76"/>
      <c r="U620" s="76">
        <v>0</v>
      </c>
      <c r="V620" s="76"/>
      <c r="W620" s="76">
        <v>0</v>
      </c>
      <c r="X620" s="76"/>
      <c r="Y620" s="76">
        <v>0</v>
      </c>
      <c r="Z620" s="76"/>
      <c r="AA620" s="76">
        <v>232775.9</v>
      </c>
      <c r="AB620" s="76"/>
      <c r="AC620" s="76">
        <v>0</v>
      </c>
      <c r="AD620" s="76"/>
      <c r="AE620" s="76">
        <v>0</v>
      </c>
      <c r="AF620" s="76"/>
      <c r="AG620" s="76">
        <v>0</v>
      </c>
      <c r="AH620"/>
      <c r="AI620" s="76">
        <f t="shared" si="9"/>
        <v>441240.82999999996</v>
      </c>
      <c r="AJ620" s="10"/>
      <c r="AK620" s="21"/>
      <c r="AL620" s="21"/>
      <c r="AM620" s="21"/>
    </row>
    <row r="621" spans="1:39" ht="12" customHeight="1" x14ac:dyDescent="0.2">
      <c r="A621" s="1" t="s">
        <v>85</v>
      </c>
      <c r="C621" s="1" t="s">
        <v>761</v>
      </c>
      <c r="E621" s="76">
        <v>32979.01</v>
      </c>
      <c r="F621" s="76"/>
      <c r="G621" s="76">
        <v>0</v>
      </c>
      <c r="H621" s="76"/>
      <c r="I621" s="76">
        <v>30112.91</v>
      </c>
      <c r="J621" s="76"/>
      <c r="K621" s="76">
        <v>0</v>
      </c>
      <c r="L621" s="76"/>
      <c r="M621" s="76">
        <v>6760</v>
      </c>
      <c r="N621" s="76"/>
      <c r="O621" s="76">
        <v>16709.77</v>
      </c>
      <c r="P621" s="76"/>
      <c r="Q621" s="76">
        <v>0</v>
      </c>
      <c r="R621" s="76"/>
      <c r="S621" s="76">
        <v>54</v>
      </c>
      <c r="T621" s="76"/>
      <c r="U621" s="76">
        <v>0</v>
      </c>
      <c r="V621" s="76"/>
      <c r="W621" s="76">
        <v>0</v>
      </c>
      <c r="X621" s="76"/>
      <c r="Y621" s="76">
        <v>0</v>
      </c>
      <c r="Z621" s="76"/>
      <c r="AA621" s="76">
        <v>0</v>
      </c>
      <c r="AB621" s="76"/>
      <c r="AC621" s="76">
        <v>0</v>
      </c>
      <c r="AD621" s="76"/>
      <c r="AE621" s="76">
        <v>0</v>
      </c>
      <c r="AF621" s="76"/>
      <c r="AG621" s="76">
        <v>0</v>
      </c>
      <c r="AH621"/>
      <c r="AI621" s="76">
        <f t="shared" si="9"/>
        <v>86615.69</v>
      </c>
      <c r="AJ621" s="10"/>
      <c r="AK621" s="21"/>
      <c r="AL621" s="21"/>
      <c r="AM621" s="21"/>
    </row>
    <row r="622" spans="1:39" s="21" customFormat="1" ht="12" customHeight="1" x14ac:dyDescent="0.2">
      <c r="A622" s="1" t="s">
        <v>966</v>
      </c>
      <c r="B622" s="1"/>
      <c r="C622" s="1" t="s">
        <v>378</v>
      </c>
      <c r="D622" s="1"/>
      <c r="E622" s="76">
        <f>10868031-10218148</f>
        <v>649883</v>
      </c>
      <c r="F622" s="76"/>
      <c r="G622" s="76">
        <v>10218148</v>
      </c>
      <c r="H622" s="76"/>
      <c r="I622" s="76">
        <v>386205</v>
      </c>
      <c r="J622" s="76"/>
      <c r="K622" s="76">
        <v>0</v>
      </c>
      <c r="L622" s="76"/>
      <c r="M622" s="76">
        <v>199474</v>
      </c>
      <c r="N622" s="76"/>
      <c r="O622" s="76">
        <f>62841+46285</f>
        <v>109126</v>
      </c>
      <c r="P622" s="76"/>
      <c r="Q622" s="76">
        <v>70224</v>
      </c>
      <c r="R622" s="76"/>
      <c r="S622" s="76">
        <v>207040</v>
      </c>
      <c r="T622" s="76"/>
      <c r="U622" s="76">
        <v>0</v>
      </c>
      <c r="V622" s="76"/>
      <c r="W622" s="76">
        <v>0</v>
      </c>
      <c r="X622" s="76"/>
      <c r="Y622" s="76">
        <v>3080000</v>
      </c>
      <c r="Z622" s="76"/>
      <c r="AA622" s="76">
        <v>0</v>
      </c>
      <c r="AB622" s="76"/>
      <c r="AC622" s="76">
        <v>0</v>
      </c>
      <c r="AD622" s="76"/>
      <c r="AE622" s="76">
        <v>0</v>
      </c>
      <c r="AF622" s="76"/>
      <c r="AG622" s="76">
        <v>0</v>
      </c>
      <c r="AH622" s="35"/>
      <c r="AI622" s="76">
        <f t="shared" si="9"/>
        <v>14920100</v>
      </c>
      <c r="AJ622" s="10"/>
    </row>
    <row r="623" spans="1:39" ht="12" customHeight="1" x14ac:dyDescent="0.2">
      <c r="A623" s="1" t="s">
        <v>443</v>
      </c>
      <c r="C623" s="1" t="s">
        <v>439</v>
      </c>
      <c r="E623" s="76">
        <v>5333</v>
      </c>
      <c r="F623" s="76"/>
      <c r="G623" s="76">
        <v>0</v>
      </c>
      <c r="H623" s="76"/>
      <c r="I623" s="76">
        <v>28624</v>
      </c>
      <c r="J623" s="76"/>
      <c r="K623" s="76">
        <v>0</v>
      </c>
      <c r="L623" s="76"/>
      <c r="M623" s="76">
        <v>0</v>
      </c>
      <c r="N623" s="76"/>
      <c r="O623" s="76">
        <v>30480</v>
      </c>
      <c r="P623" s="76"/>
      <c r="Q623" s="76">
        <v>0</v>
      </c>
      <c r="R623" s="76"/>
      <c r="S623" s="76">
        <v>22280</v>
      </c>
      <c r="T623" s="76"/>
      <c r="U623" s="76">
        <v>0</v>
      </c>
      <c r="V623" s="76"/>
      <c r="W623" s="76">
        <v>0</v>
      </c>
      <c r="X623" s="76"/>
      <c r="Y623" s="76">
        <v>0</v>
      </c>
      <c r="Z623" s="76"/>
      <c r="AA623" s="76">
        <v>0</v>
      </c>
      <c r="AB623" s="76"/>
      <c r="AC623" s="76">
        <v>0</v>
      </c>
      <c r="AD623" s="76"/>
      <c r="AE623" s="76">
        <v>0</v>
      </c>
      <c r="AF623" s="76"/>
      <c r="AG623" s="76">
        <v>0</v>
      </c>
      <c r="AH623" s="76"/>
      <c r="AI623" s="76">
        <f t="shared" si="9"/>
        <v>86717</v>
      </c>
      <c r="AJ623" s="10"/>
      <c r="AK623" s="21"/>
      <c r="AL623" s="21"/>
      <c r="AM623" s="21"/>
    </row>
    <row r="624" spans="1:39" ht="12" customHeight="1" x14ac:dyDescent="0.2">
      <c r="A624" s="1" t="s">
        <v>33</v>
      </c>
      <c r="C624" s="1" t="s">
        <v>745</v>
      </c>
      <c r="E624" s="76">
        <v>55210.58</v>
      </c>
      <c r="F624" s="76"/>
      <c r="G624" s="76">
        <v>250355.43</v>
      </c>
      <c r="H624" s="76"/>
      <c r="I624" s="76">
        <v>40047.96</v>
      </c>
      <c r="J624" s="76"/>
      <c r="K624" s="76">
        <v>544.04</v>
      </c>
      <c r="L624" s="76"/>
      <c r="M624" s="76">
        <v>26400</v>
      </c>
      <c r="N624" s="76"/>
      <c r="O624" s="76">
        <v>41335.550000000003</v>
      </c>
      <c r="P624" s="76"/>
      <c r="Q624" s="76">
        <v>1721.72</v>
      </c>
      <c r="R624" s="76"/>
      <c r="S624" s="76">
        <v>8236.25</v>
      </c>
      <c r="T624" s="76"/>
      <c r="U624" s="76">
        <v>0</v>
      </c>
      <c r="V624" s="76"/>
      <c r="W624" s="76">
        <v>0</v>
      </c>
      <c r="X624" s="76"/>
      <c r="Y624" s="76">
        <v>0</v>
      </c>
      <c r="Z624" s="76"/>
      <c r="AA624" s="76">
        <v>0</v>
      </c>
      <c r="AB624" s="76"/>
      <c r="AC624" s="76">
        <v>0</v>
      </c>
      <c r="AD624" s="76"/>
      <c r="AE624" s="76">
        <v>0</v>
      </c>
      <c r="AF624" s="76"/>
      <c r="AG624" s="76">
        <v>0</v>
      </c>
      <c r="AH624"/>
      <c r="AI624" s="76">
        <f t="shared" si="9"/>
        <v>423851.52999999997</v>
      </c>
      <c r="AJ624" s="10"/>
      <c r="AK624" s="22"/>
      <c r="AL624" s="22"/>
      <c r="AM624" s="22"/>
    </row>
    <row r="625" spans="1:39" s="15" customFormat="1" ht="12" customHeight="1" x14ac:dyDescent="0.2">
      <c r="A625" s="1" t="s">
        <v>477</v>
      </c>
      <c r="B625" s="1"/>
      <c r="C625" s="1" t="s">
        <v>474</v>
      </c>
      <c r="D625" s="1"/>
      <c r="E625" s="76">
        <v>3525</v>
      </c>
      <c r="F625" s="76"/>
      <c r="G625" s="76">
        <v>0</v>
      </c>
      <c r="H625" s="76"/>
      <c r="I625" s="76">
        <v>4418</v>
      </c>
      <c r="J625" s="76"/>
      <c r="K625" s="76">
        <v>0</v>
      </c>
      <c r="L625" s="76"/>
      <c r="M625" s="76">
        <v>0</v>
      </c>
      <c r="N625" s="76"/>
      <c r="O625" s="76">
        <v>0</v>
      </c>
      <c r="P625" s="76"/>
      <c r="Q625" s="76">
        <v>0</v>
      </c>
      <c r="R625" s="76"/>
      <c r="S625" s="76">
        <v>14</v>
      </c>
      <c r="T625" s="76"/>
      <c r="U625" s="76">
        <v>0</v>
      </c>
      <c r="V625" s="76"/>
      <c r="W625" s="76">
        <v>0</v>
      </c>
      <c r="X625" s="76"/>
      <c r="Y625" s="76">
        <v>0</v>
      </c>
      <c r="Z625" s="76"/>
      <c r="AA625" s="76">
        <v>0</v>
      </c>
      <c r="AB625" s="76"/>
      <c r="AC625" s="76">
        <v>0</v>
      </c>
      <c r="AD625" s="76"/>
      <c r="AE625" s="76">
        <v>0</v>
      </c>
      <c r="AF625" s="76"/>
      <c r="AG625" s="76">
        <v>0</v>
      </c>
      <c r="AH625" s="76"/>
      <c r="AI625" s="76">
        <f t="shared" si="9"/>
        <v>7957</v>
      </c>
      <c r="AJ625" s="10"/>
      <c r="AK625" s="1"/>
      <c r="AL625" s="1"/>
      <c r="AM625" s="1"/>
    </row>
    <row r="626" spans="1:39" ht="12" customHeight="1" x14ac:dyDescent="0.2">
      <c r="A626" s="1" t="s">
        <v>169</v>
      </c>
      <c r="C626" s="1" t="s">
        <v>787</v>
      </c>
      <c r="E626" s="76">
        <v>16313.67</v>
      </c>
      <c r="F626" s="76"/>
      <c r="G626" s="76">
        <v>0</v>
      </c>
      <c r="H626" s="76"/>
      <c r="I626" s="76">
        <v>15602.81</v>
      </c>
      <c r="J626" s="76"/>
      <c r="K626" s="76">
        <v>0</v>
      </c>
      <c r="L626" s="76"/>
      <c r="M626" s="76">
        <v>0</v>
      </c>
      <c r="N626" s="76"/>
      <c r="O626" s="76">
        <v>0</v>
      </c>
      <c r="P626" s="76"/>
      <c r="Q626" s="76">
        <v>1513.61</v>
      </c>
      <c r="R626" s="76"/>
      <c r="S626" s="76">
        <v>9530.1</v>
      </c>
      <c r="T626" s="76"/>
      <c r="U626" s="76">
        <v>0</v>
      </c>
      <c r="V626" s="76"/>
      <c r="W626" s="76">
        <v>0</v>
      </c>
      <c r="X626" s="76"/>
      <c r="Y626" s="76">
        <v>0</v>
      </c>
      <c r="Z626" s="76"/>
      <c r="AA626" s="76">
        <v>0</v>
      </c>
      <c r="AB626" s="76"/>
      <c r="AC626" s="76">
        <v>0</v>
      </c>
      <c r="AD626" s="76"/>
      <c r="AE626" s="76">
        <v>23596.42</v>
      </c>
      <c r="AF626" s="76"/>
      <c r="AG626" s="76">
        <v>0</v>
      </c>
      <c r="AH626"/>
      <c r="AI626" s="76">
        <f t="shared" si="9"/>
        <v>66556.609999999986</v>
      </c>
      <c r="AJ626" s="10"/>
      <c r="AK626" s="21"/>
      <c r="AL626" s="21"/>
      <c r="AM626" s="21"/>
    </row>
    <row r="627" spans="1:39" ht="12" customHeight="1" x14ac:dyDescent="0.2">
      <c r="A627" s="1" t="s">
        <v>566</v>
      </c>
      <c r="C627" s="1" t="s">
        <v>560</v>
      </c>
      <c r="E627" s="76">
        <v>5843.59</v>
      </c>
      <c r="F627" s="76"/>
      <c r="G627" s="76">
        <v>11999.01</v>
      </c>
      <c r="H627" s="76"/>
      <c r="I627" s="76">
        <v>6245.47</v>
      </c>
      <c r="J627" s="76"/>
      <c r="K627" s="76">
        <v>0</v>
      </c>
      <c r="L627" s="76"/>
      <c r="M627" s="76">
        <v>0</v>
      </c>
      <c r="N627" s="76"/>
      <c r="O627" s="76">
        <v>55</v>
      </c>
      <c r="P627" s="76"/>
      <c r="Q627" s="76">
        <v>3.38</v>
      </c>
      <c r="R627" s="76"/>
      <c r="S627" s="76">
        <v>995</v>
      </c>
      <c r="T627" s="76"/>
      <c r="U627" s="76">
        <v>0</v>
      </c>
      <c r="V627" s="76"/>
      <c r="W627" s="76">
        <v>0</v>
      </c>
      <c r="X627" s="76"/>
      <c r="Y627" s="76">
        <v>0</v>
      </c>
      <c r="Z627" s="76"/>
      <c r="AA627" s="76">
        <v>0</v>
      </c>
      <c r="AB627" s="76"/>
      <c r="AC627" s="76">
        <v>0</v>
      </c>
      <c r="AD627" s="76"/>
      <c r="AE627" s="76">
        <v>0</v>
      </c>
      <c r="AF627" s="76"/>
      <c r="AG627" s="76">
        <v>0</v>
      </c>
      <c r="AH627"/>
      <c r="AI627" s="76">
        <f t="shared" si="9"/>
        <v>25141.45</v>
      </c>
      <c r="AJ627" s="10"/>
    </row>
    <row r="628" spans="1:39" ht="12" customHeight="1" x14ac:dyDescent="0.2">
      <c r="A628" s="1" t="s">
        <v>936</v>
      </c>
      <c r="C628" s="1" t="s">
        <v>350</v>
      </c>
      <c r="E628" s="76">
        <v>27892.39</v>
      </c>
      <c r="F628" s="76"/>
      <c r="G628" s="76">
        <v>0</v>
      </c>
      <c r="H628" s="76"/>
      <c r="I628" s="76">
        <v>13205.98</v>
      </c>
      <c r="J628" s="76"/>
      <c r="K628" s="76">
        <v>0</v>
      </c>
      <c r="L628" s="76"/>
      <c r="M628" s="76">
        <v>0</v>
      </c>
      <c r="N628" s="76"/>
      <c r="O628" s="76">
        <v>3208.56</v>
      </c>
      <c r="P628" s="76"/>
      <c r="Q628" s="76">
        <v>327.52</v>
      </c>
      <c r="R628" s="76"/>
      <c r="S628" s="76">
        <v>0</v>
      </c>
      <c r="T628" s="76"/>
      <c r="U628" s="76">
        <v>0</v>
      </c>
      <c r="V628" s="76"/>
      <c r="W628" s="76">
        <v>0</v>
      </c>
      <c r="X628" s="76"/>
      <c r="Y628" s="76">
        <v>0</v>
      </c>
      <c r="Z628" s="76"/>
      <c r="AA628" s="76">
        <v>0</v>
      </c>
      <c r="AB628" s="76"/>
      <c r="AC628" s="76">
        <v>0</v>
      </c>
      <c r="AD628" s="76"/>
      <c r="AE628" s="76">
        <v>0</v>
      </c>
      <c r="AF628" s="76"/>
      <c r="AG628" s="76">
        <v>0</v>
      </c>
      <c r="AH628"/>
      <c r="AI628" s="76">
        <f t="shared" si="9"/>
        <v>44634.44999999999</v>
      </c>
      <c r="AJ628" s="10"/>
    </row>
    <row r="629" spans="1:39" s="21" customFormat="1" ht="12" customHeight="1" x14ac:dyDescent="0.2">
      <c r="A629" s="1" t="s">
        <v>567</v>
      </c>
      <c r="B629" s="1"/>
      <c r="C629" s="1" t="s">
        <v>560</v>
      </c>
      <c r="D629" s="1"/>
      <c r="E629" s="76">
        <v>102813</v>
      </c>
      <c r="F629" s="76"/>
      <c r="G629" s="76">
        <v>444924</v>
      </c>
      <c r="H629" s="76"/>
      <c r="I629" s="76">
        <v>74283</v>
      </c>
      <c r="J629" s="76"/>
      <c r="K629" s="76">
        <v>0</v>
      </c>
      <c r="L629" s="76"/>
      <c r="M629" s="76">
        <v>96012</v>
      </c>
      <c r="N629" s="76"/>
      <c r="O629" s="76">
        <v>11192</v>
      </c>
      <c r="P629" s="76"/>
      <c r="Q629" s="76">
        <v>4033</v>
      </c>
      <c r="R629" s="76"/>
      <c r="S629" s="76">
        <v>29487</v>
      </c>
      <c r="T629" s="76"/>
      <c r="U629" s="76">
        <v>0</v>
      </c>
      <c r="V629" s="76"/>
      <c r="W629" s="76">
        <v>0</v>
      </c>
      <c r="X629" s="76"/>
      <c r="Y629" s="76">
        <v>0</v>
      </c>
      <c r="Z629" s="76"/>
      <c r="AA629" s="76">
        <v>393693</v>
      </c>
      <c r="AB629" s="76"/>
      <c r="AC629" s="76">
        <v>0</v>
      </c>
      <c r="AD629" s="76"/>
      <c r="AE629" s="76">
        <v>0</v>
      </c>
      <c r="AF629" s="76"/>
      <c r="AG629" s="76">
        <v>0</v>
      </c>
      <c r="AH629" s="76"/>
      <c r="AI629" s="76">
        <f t="shared" si="9"/>
        <v>1156437</v>
      </c>
      <c r="AJ629" s="10"/>
      <c r="AK629" s="1"/>
      <c r="AL629" s="1"/>
      <c r="AM629" s="1"/>
    </row>
    <row r="630" spans="1:39" ht="12" customHeight="1" x14ac:dyDescent="0.2">
      <c r="A630" s="1" t="s">
        <v>424</v>
      </c>
      <c r="C630" s="1" t="s">
        <v>420</v>
      </c>
      <c r="E630" s="76">
        <v>0</v>
      </c>
      <c r="F630" s="76"/>
      <c r="G630" s="76">
        <v>799375</v>
      </c>
      <c r="H630" s="76"/>
      <c r="I630" s="76">
        <v>384449</v>
      </c>
      <c r="J630" s="76"/>
      <c r="K630" s="76">
        <v>0</v>
      </c>
      <c r="L630" s="76"/>
      <c r="M630" s="76">
        <v>3270</v>
      </c>
      <c r="N630" s="76"/>
      <c r="O630" s="76">
        <v>625</v>
      </c>
      <c r="P630" s="76"/>
      <c r="Q630" s="76">
        <v>481</v>
      </c>
      <c r="R630" s="76"/>
      <c r="S630" s="76">
        <v>5150</v>
      </c>
      <c r="T630" s="76"/>
      <c r="U630" s="76">
        <v>0</v>
      </c>
      <c r="V630" s="76"/>
      <c r="W630" s="76">
        <v>0</v>
      </c>
      <c r="X630" s="76"/>
      <c r="Y630" s="76">
        <v>0</v>
      </c>
      <c r="Z630" s="76"/>
      <c r="AA630" s="76">
        <v>0</v>
      </c>
      <c r="AB630" s="76"/>
      <c r="AC630" s="76">
        <v>0</v>
      </c>
      <c r="AD630" s="76"/>
      <c r="AE630" s="76">
        <v>3066</v>
      </c>
      <c r="AF630" s="76"/>
      <c r="AG630" s="76">
        <v>0</v>
      </c>
      <c r="AH630" s="76"/>
      <c r="AI630" s="76">
        <f t="shared" si="9"/>
        <v>1196416</v>
      </c>
      <c r="AJ630" s="10"/>
      <c r="AK630" s="21"/>
      <c r="AL630" s="21"/>
      <c r="AM630" s="21"/>
    </row>
    <row r="631" spans="1:39" ht="12" customHeight="1" x14ac:dyDescent="0.2">
      <c r="A631" s="1" t="s">
        <v>598</v>
      </c>
      <c r="C631" s="1" t="s">
        <v>596</v>
      </c>
      <c r="E631" s="76">
        <v>306186</v>
      </c>
      <c r="F631" s="76"/>
      <c r="G631" s="76">
        <v>912</v>
      </c>
      <c r="H631" s="76"/>
      <c r="I631" s="76">
        <v>62716</v>
      </c>
      <c r="J631" s="76"/>
      <c r="K631" s="76">
        <v>0</v>
      </c>
      <c r="L631" s="76"/>
      <c r="M631" s="76">
        <v>1036</v>
      </c>
      <c r="N631" s="76"/>
      <c r="O631" s="76">
        <v>7486</v>
      </c>
      <c r="P631" s="76"/>
      <c r="Q631" s="76">
        <v>927</v>
      </c>
      <c r="R631" s="76"/>
      <c r="S631" s="76">
        <v>114191</v>
      </c>
      <c r="T631" s="76"/>
      <c r="U631" s="76">
        <v>0</v>
      </c>
      <c r="V631" s="76"/>
      <c r="W631" s="76">
        <v>0</v>
      </c>
      <c r="X631" s="76"/>
      <c r="Y631" s="76">
        <v>0</v>
      </c>
      <c r="Z631" s="76"/>
      <c r="AA631" s="76">
        <v>0</v>
      </c>
      <c r="AB631" s="76"/>
      <c r="AC631" s="76">
        <v>0</v>
      </c>
      <c r="AD631" s="76"/>
      <c r="AE631" s="76">
        <v>0</v>
      </c>
      <c r="AF631" s="76"/>
      <c r="AG631" s="76">
        <v>0</v>
      </c>
      <c r="AH631" s="76"/>
      <c r="AI631" s="76">
        <f t="shared" si="9"/>
        <v>493454</v>
      </c>
      <c r="AJ631" s="10"/>
    </row>
    <row r="632" spans="1:39" s="21" customFormat="1" ht="12" customHeight="1" x14ac:dyDescent="0.2">
      <c r="A632" s="1" t="s">
        <v>196</v>
      </c>
      <c r="B632" s="1"/>
      <c r="C632" s="1" t="s">
        <v>795</v>
      </c>
      <c r="D632" s="1"/>
      <c r="E632" s="76">
        <v>73801.48</v>
      </c>
      <c r="F632" s="76"/>
      <c r="G632" s="76">
        <v>0</v>
      </c>
      <c r="H632" s="76"/>
      <c r="I632" s="76">
        <v>37483.99</v>
      </c>
      <c r="J632" s="76"/>
      <c r="K632" s="76">
        <v>0</v>
      </c>
      <c r="L632" s="76"/>
      <c r="M632" s="76">
        <v>0</v>
      </c>
      <c r="N632" s="76"/>
      <c r="O632" s="76">
        <v>3369.13</v>
      </c>
      <c r="P632" s="76"/>
      <c r="Q632" s="76">
        <v>66.81</v>
      </c>
      <c r="R632" s="76"/>
      <c r="S632" s="76">
        <v>0</v>
      </c>
      <c r="T632" s="76"/>
      <c r="U632" s="76">
        <v>0</v>
      </c>
      <c r="V632" s="76"/>
      <c r="W632" s="76">
        <v>0</v>
      </c>
      <c r="X632" s="76"/>
      <c r="Y632" s="76">
        <v>0</v>
      </c>
      <c r="Z632" s="76"/>
      <c r="AA632" s="76">
        <v>0</v>
      </c>
      <c r="AB632" s="76"/>
      <c r="AC632" s="76">
        <v>0</v>
      </c>
      <c r="AD632" s="76"/>
      <c r="AE632" s="76">
        <v>0</v>
      </c>
      <c r="AF632" s="76"/>
      <c r="AG632" s="76">
        <v>0</v>
      </c>
      <c r="AH632" s="81"/>
      <c r="AI632" s="76">
        <f t="shared" si="9"/>
        <v>114721.41</v>
      </c>
      <c r="AJ632" s="10"/>
      <c r="AK632" s="1"/>
      <c r="AL632" s="1"/>
      <c r="AM632" s="1"/>
    </row>
    <row r="633" spans="1:39" ht="12" customHeight="1" x14ac:dyDescent="0.2">
      <c r="A633" s="1" t="s">
        <v>66</v>
      </c>
      <c r="C633" s="1" t="s">
        <v>756</v>
      </c>
      <c r="E633" s="76">
        <v>32269.56</v>
      </c>
      <c r="F633" s="76"/>
      <c r="G633" s="76">
        <v>86215.08</v>
      </c>
      <c r="H633" s="76"/>
      <c r="I633" s="76">
        <v>27249.64</v>
      </c>
      <c r="J633" s="76"/>
      <c r="K633" s="76">
        <v>0</v>
      </c>
      <c r="L633" s="76"/>
      <c r="M633" s="76">
        <v>0</v>
      </c>
      <c r="N633" s="76"/>
      <c r="O633" s="76">
        <v>7787.58</v>
      </c>
      <c r="P633" s="76"/>
      <c r="Q633" s="76">
        <v>417.67</v>
      </c>
      <c r="R633" s="76"/>
      <c r="S633" s="76">
        <v>7112.23</v>
      </c>
      <c r="T633" s="76"/>
      <c r="U633" s="76">
        <v>0</v>
      </c>
      <c r="V633" s="76"/>
      <c r="W633" s="76">
        <v>0</v>
      </c>
      <c r="X633" s="76"/>
      <c r="Y633" s="76">
        <v>0</v>
      </c>
      <c r="Z633" s="76"/>
      <c r="AA633" s="76">
        <v>0</v>
      </c>
      <c r="AB633" s="76"/>
      <c r="AC633" s="76">
        <v>0</v>
      </c>
      <c r="AD633" s="76"/>
      <c r="AE633" s="76">
        <v>0</v>
      </c>
      <c r="AF633" s="76"/>
      <c r="AG633" s="76">
        <v>0</v>
      </c>
      <c r="AH633"/>
      <c r="AI633" s="76">
        <f t="shared" si="9"/>
        <v>161051.76</v>
      </c>
      <c r="AJ633" s="10"/>
      <c r="AK633" s="22"/>
      <c r="AL633" s="22"/>
      <c r="AM633" s="22"/>
    </row>
    <row r="634" spans="1:39" s="21" customFormat="1" ht="12" customHeight="1" x14ac:dyDescent="0.2">
      <c r="A634" s="1" t="s">
        <v>568</v>
      </c>
      <c r="B634" s="1"/>
      <c r="C634" s="1" t="s">
        <v>560</v>
      </c>
      <c r="D634" s="1"/>
      <c r="E634" s="76">
        <v>297787</v>
      </c>
      <c r="F634" s="76"/>
      <c r="G634" s="76">
        <v>770694</v>
      </c>
      <c r="H634" s="76"/>
      <c r="I634" s="76">
        <v>127706</v>
      </c>
      <c r="J634" s="76"/>
      <c r="K634" s="76">
        <v>5000</v>
      </c>
      <c r="L634" s="76"/>
      <c r="M634" s="76">
        <v>6875</v>
      </c>
      <c r="N634" s="76"/>
      <c r="O634" s="76">
        <v>2617</v>
      </c>
      <c r="P634" s="76"/>
      <c r="Q634" s="76">
        <v>3389</v>
      </c>
      <c r="R634" s="76"/>
      <c r="S634" s="76">
        <v>11147</v>
      </c>
      <c r="T634" s="76"/>
      <c r="U634" s="76">
        <v>0</v>
      </c>
      <c r="V634" s="76"/>
      <c r="W634" s="76">
        <v>25940</v>
      </c>
      <c r="X634" s="76"/>
      <c r="Y634" s="76">
        <v>0</v>
      </c>
      <c r="Z634" s="76"/>
      <c r="AA634" s="76">
        <v>0</v>
      </c>
      <c r="AB634" s="76"/>
      <c r="AC634" s="76">
        <v>0</v>
      </c>
      <c r="AD634" s="76"/>
      <c r="AE634" s="76">
        <v>25750</v>
      </c>
      <c r="AF634" s="76"/>
      <c r="AG634" s="76">
        <v>0</v>
      </c>
      <c r="AH634" s="76"/>
      <c r="AI634" s="76">
        <f t="shared" si="9"/>
        <v>1276905</v>
      </c>
      <c r="AJ634" s="10"/>
      <c r="AK634" s="1"/>
      <c r="AL634" s="1"/>
      <c r="AM634" s="1"/>
    </row>
    <row r="635" spans="1:39" ht="12" customHeight="1" x14ac:dyDescent="0.2">
      <c r="A635" s="1" t="s">
        <v>178</v>
      </c>
      <c r="C635" s="1" t="s">
        <v>790</v>
      </c>
      <c r="E635" s="76">
        <v>7896.8</v>
      </c>
      <c r="F635" s="76"/>
      <c r="G635" s="76">
        <v>0</v>
      </c>
      <c r="H635" s="76"/>
      <c r="I635" s="76">
        <v>11969.01</v>
      </c>
      <c r="J635" s="76"/>
      <c r="K635" s="76">
        <v>0</v>
      </c>
      <c r="L635" s="76"/>
      <c r="M635" s="76">
        <v>0</v>
      </c>
      <c r="N635" s="76"/>
      <c r="O635" s="76">
        <v>0</v>
      </c>
      <c r="P635" s="76"/>
      <c r="Q635" s="76">
        <v>4.84</v>
      </c>
      <c r="R635" s="76"/>
      <c r="S635" s="76">
        <v>0</v>
      </c>
      <c r="T635" s="76"/>
      <c r="U635" s="76">
        <v>0</v>
      </c>
      <c r="V635" s="76"/>
      <c r="W635" s="76">
        <v>0</v>
      </c>
      <c r="X635" s="76"/>
      <c r="Y635" s="76">
        <v>0</v>
      </c>
      <c r="Z635" s="76"/>
      <c r="AA635" s="76">
        <v>0</v>
      </c>
      <c r="AB635" s="76"/>
      <c r="AC635" s="76">
        <v>0</v>
      </c>
      <c r="AD635" s="76"/>
      <c r="AE635" s="76">
        <v>0</v>
      </c>
      <c r="AF635" s="76"/>
      <c r="AG635" s="76">
        <v>0</v>
      </c>
      <c r="AH635"/>
      <c r="AI635" s="76">
        <f t="shared" si="9"/>
        <v>19870.650000000001</v>
      </c>
      <c r="AJ635" s="10"/>
    </row>
    <row r="636" spans="1:39" ht="12" customHeight="1" x14ac:dyDescent="0.2">
      <c r="A636" s="1" t="s">
        <v>47</v>
      </c>
      <c r="C636" s="1" t="s">
        <v>305</v>
      </c>
      <c r="E636" s="76">
        <v>2385.09</v>
      </c>
      <c r="F636" s="76"/>
      <c r="G636" s="76">
        <v>0</v>
      </c>
      <c r="H636" s="76"/>
      <c r="I636" s="76">
        <v>21836.42</v>
      </c>
      <c r="J636" s="76"/>
      <c r="K636" s="76">
        <v>0</v>
      </c>
      <c r="L636" s="76"/>
      <c r="M636" s="76">
        <v>0</v>
      </c>
      <c r="N636" s="76"/>
      <c r="O636" s="76">
        <v>10886.04</v>
      </c>
      <c r="P636" s="76"/>
      <c r="Q636" s="76">
        <v>0</v>
      </c>
      <c r="R636" s="76"/>
      <c r="S636" s="76">
        <v>0</v>
      </c>
      <c r="T636" s="76"/>
      <c r="U636" s="76">
        <v>0</v>
      </c>
      <c r="V636" s="76"/>
      <c r="W636" s="76">
        <v>0</v>
      </c>
      <c r="X636" s="76"/>
      <c r="Y636" s="76">
        <v>0</v>
      </c>
      <c r="Z636" s="76"/>
      <c r="AA636" s="76">
        <v>0</v>
      </c>
      <c r="AB636" s="76"/>
      <c r="AC636" s="76">
        <v>0</v>
      </c>
      <c r="AD636" s="76"/>
      <c r="AE636" s="76">
        <v>0</v>
      </c>
      <c r="AF636" s="76"/>
      <c r="AG636" s="76">
        <v>0</v>
      </c>
      <c r="AH636"/>
      <c r="AI636" s="76">
        <f t="shared" si="9"/>
        <v>35107.550000000003</v>
      </c>
      <c r="AJ636" s="10"/>
      <c r="AK636" s="7"/>
      <c r="AL636" s="7"/>
      <c r="AM636" s="7"/>
    </row>
    <row r="637" spans="1:39" s="21" customFormat="1" ht="12" customHeight="1" x14ac:dyDescent="0.2">
      <c r="A637" s="1" t="s">
        <v>346</v>
      </c>
      <c r="B637" s="1"/>
      <c r="C637" s="1" t="s">
        <v>343</v>
      </c>
      <c r="D637" s="1"/>
      <c r="E637" s="76">
        <v>244181</v>
      </c>
      <c r="F637" s="76"/>
      <c r="G637" s="76">
        <v>2000738</v>
      </c>
      <c r="H637" s="76"/>
      <c r="I637" s="76">
        <v>173421</v>
      </c>
      <c r="J637" s="76"/>
      <c r="K637" s="76">
        <v>0</v>
      </c>
      <c r="L637" s="76"/>
      <c r="M637" s="76">
        <v>0</v>
      </c>
      <c r="N637" s="76"/>
      <c r="O637" s="76">
        <v>275819</v>
      </c>
      <c r="P637" s="76"/>
      <c r="Q637" s="76">
        <v>22787</v>
      </c>
      <c r="R637" s="76"/>
      <c r="S637" s="76">
        <f>900+26598</f>
        <v>27498</v>
      </c>
      <c r="T637" s="76"/>
      <c r="U637" s="76">
        <v>0</v>
      </c>
      <c r="V637" s="76"/>
      <c r="W637" s="76">
        <v>1227180</v>
      </c>
      <c r="X637" s="76"/>
      <c r="Y637" s="76">
        <v>0</v>
      </c>
      <c r="Z637" s="76"/>
      <c r="AA637" s="76">
        <v>40293</v>
      </c>
      <c r="AB637" s="76"/>
      <c r="AC637" s="76">
        <v>0</v>
      </c>
      <c r="AD637" s="76"/>
      <c r="AE637" s="76">
        <v>0</v>
      </c>
      <c r="AF637" s="76"/>
      <c r="AG637" s="76">
        <v>0</v>
      </c>
      <c r="AH637" s="76"/>
      <c r="AI637" s="76">
        <f t="shared" si="9"/>
        <v>4011917</v>
      </c>
      <c r="AJ637" s="10"/>
      <c r="AK637" s="22"/>
      <c r="AL637" s="22"/>
      <c r="AM637" s="22"/>
    </row>
    <row r="638" spans="1:39" ht="12" customHeight="1" x14ac:dyDescent="0.2">
      <c r="A638" s="1" t="s">
        <v>362</v>
      </c>
      <c r="C638" s="1" t="s">
        <v>358</v>
      </c>
      <c r="E638" s="76">
        <v>117948.65</v>
      </c>
      <c r="F638" s="76"/>
      <c r="G638" s="76">
        <v>1133941.57</v>
      </c>
      <c r="H638" s="76"/>
      <c r="I638" s="76">
        <v>194926.64</v>
      </c>
      <c r="J638" s="76"/>
      <c r="K638" s="76">
        <v>65088.92</v>
      </c>
      <c r="L638" s="76"/>
      <c r="M638" s="76">
        <v>23594.82</v>
      </c>
      <c r="N638" s="76"/>
      <c r="O638" s="76">
        <v>58578.62</v>
      </c>
      <c r="P638" s="76"/>
      <c r="Q638" s="76">
        <v>9778.61</v>
      </c>
      <c r="R638" s="76"/>
      <c r="S638" s="76">
        <v>13033.31</v>
      </c>
      <c r="T638" s="76"/>
      <c r="U638" s="76">
        <v>0</v>
      </c>
      <c r="V638" s="76"/>
      <c r="W638" s="76">
        <v>0</v>
      </c>
      <c r="X638" s="76"/>
      <c r="Y638" s="76">
        <v>0</v>
      </c>
      <c r="Z638" s="76"/>
      <c r="AA638" s="76">
        <v>0</v>
      </c>
      <c r="AB638" s="76"/>
      <c r="AC638" s="76">
        <v>0</v>
      </c>
      <c r="AD638" s="76"/>
      <c r="AE638" s="76">
        <v>0</v>
      </c>
      <c r="AF638" s="76"/>
      <c r="AG638" s="76">
        <v>0</v>
      </c>
      <c r="AH638"/>
      <c r="AI638" s="76">
        <f t="shared" si="9"/>
        <v>1616891.1400000001</v>
      </c>
      <c r="AJ638" s="10"/>
      <c r="AK638" s="21"/>
      <c r="AL638" s="21"/>
      <c r="AM638" s="21"/>
    </row>
    <row r="639" spans="1:39" ht="12" customHeight="1" x14ac:dyDescent="0.2">
      <c r="A639" s="1" t="s">
        <v>266</v>
      </c>
      <c r="C639" s="1" t="s">
        <v>814</v>
      </c>
      <c r="E639" s="76">
        <v>41202.39</v>
      </c>
      <c r="F639" s="76"/>
      <c r="G639" s="76">
        <v>0</v>
      </c>
      <c r="H639" s="76"/>
      <c r="I639" s="76">
        <v>53802.26</v>
      </c>
      <c r="J639" s="76"/>
      <c r="K639" s="76">
        <v>0</v>
      </c>
      <c r="L639" s="76"/>
      <c r="M639" s="76">
        <v>20529.240000000002</v>
      </c>
      <c r="N639" s="76"/>
      <c r="O639" s="76">
        <v>2226.33</v>
      </c>
      <c r="P639" s="76"/>
      <c r="Q639" s="76">
        <v>1835.59</v>
      </c>
      <c r="R639" s="76"/>
      <c r="S639" s="76">
        <v>1</v>
      </c>
      <c r="T639" s="76"/>
      <c r="U639" s="76">
        <v>0</v>
      </c>
      <c r="V639" s="76"/>
      <c r="W639" s="76">
        <v>0</v>
      </c>
      <c r="X639" s="76"/>
      <c r="Y639" s="76">
        <v>0</v>
      </c>
      <c r="Z639" s="76"/>
      <c r="AA639" s="76">
        <v>64814.17</v>
      </c>
      <c r="AB639" s="76"/>
      <c r="AC639" s="76">
        <v>0</v>
      </c>
      <c r="AD639" s="76"/>
      <c r="AE639" s="76">
        <v>0</v>
      </c>
      <c r="AF639" s="76"/>
      <c r="AG639" s="76">
        <v>0</v>
      </c>
      <c r="AH639"/>
      <c r="AI639" s="76">
        <f t="shared" si="9"/>
        <v>184410.97999999998</v>
      </c>
      <c r="AJ639" s="10"/>
    </row>
    <row r="640" spans="1:39" s="21" customFormat="1" ht="12" customHeight="1" x14ac:dyDescent="0.2">
      <c r="A640" s="1" t="s">
        <v>159</v>
      </c>
      <c r="B640" s="1"/>
      <c r="C640" s="1" t="s">
        <v>782</v>
      </c>
      <c r="D640" s="1"/>
      <c r="E640" s="76">
        <v>29581.91</v>
      </c>
      <c r="F640" s="76"/>
      <c r="G640" s="76">
        <v>0</v>
      </c>
      <c r="H640" s="76"/>
      <c r="I640" s="76">
        <v>36376.19</v>
      </c>
      <c r="J640" s="76"/>
      <c r="K640" s="76">
        <v>0</v>
      </c>
      <c r="L640" s="76"/>
      <c r="M640" s="76">
        <v>501.17</v>
      </c>
      <c r="N640" s="76"/>
      <c r="O640" s="76">
        <v>19246.43</v>
      </c>
      <c r="P640" s="76"/>
      <c r="Q640" s="76">
        <v>1127.5</v>
      </c>
      <c r="R640" s="76"/>
      <c r="S640" s="76">
        <v>5850.81</v>
      </c>
      <c r="T640" s="76"/>
      <c r="U640" s="76">
        <v>0</v>
      </c>
      <c r="V640" s="76"/>
      <c r="W640" s="76">
        <v>0</v>
      </c>
      <c r="X640" s="76"/>
      <c r="Y640" s="76">
        <v>0</v>
      </c>
      <c r="Z640" s="76"/>
      <c r="AA640" s="76">
        <v>0</v>
      </c>
      <c r="AB640" s="76"/>
      <c r="AC640" s="76">
        <v>0</v>
      </c>
      <c r="AD640" s="76"/>
      <c r="AE640" s="76">
        <v>349.25</v>
      </c>
      <c r="AF640" s="76"/>
      <c r="AG640" s="76">
        <v>0</v>
      </c>
      <c r="AH640"/>
      <c r="AI640" s="76">
        <f t="shared" si="9"/>
        <v>93033.260000000009</v>
      </c>
      <c r="AJ640" s="10"/>
      <c r="AK640" s="1"/>
      <c r="AL640" s="1"/>
      <c r="AM640" s="1"/>
    </row>
    <row r="641" spans="1:39" ht="12" customHeight="1" x14ac:dyDescent="0.2">
      <c r="A641" s="1" t="s">
        <v>191</v>
      </c>
      <c r="C641" s="1" t="s">
        <v>793</v>
      </c>
      <c r="E641" s="76">
        <v>4850.08</v>
      </c>
      <c r="F641" s="76"/>
      <c r="G641" s="76">
        <v>0</v>
      </c>
      <c r="H641" s="76"/>
      <c r="I641" s="76">
        <v>16433.36</v>
      </c>
      <c r="J641" s="76"/>
      <c r="K641" s="76">
        <v>0</v>
      </c>
      <c r="L641" s="76"/>
      <c r="M641" s="76">
        <v>2540</v>
      </c>
      <c r="N641" s="76"/>
      <c r="O641" s="76">
        <v>2651.31</v>
      </c>
      <c r="P641" s="76"/>
      <c r="Q641" s="76">
        <v>62.21</v>
      </c>
      <c r="R641" s="76"/>
      <c r="S641" s="76">
        <v>939.35</v>
      </c>
      <c r="T641" s="76"/>
      <c r="U641" s="76">
        <v>0</v>
      </c>
      <c r="V641" s="76"/>
      <c r="W641" s="76">
        <v>0</v>
      </c>
      <c r="X641" s="76"/>
      <c r="Y641" s="76">
        <v>0</v>
      </c>
      <c r="Z641" s="76"/>
      <c r="AA641" s="76">
        <v>0</v>
      </c>
      <c r="AB641" s="76"/>
      <c r="AC641" s="76">
        <v>0</v>
      </c>
      <c r="AD641" s="76"/>
      <c r="AE641" s="76">
        <v>0</v>
      </c>
      <c r="AF641" s="76"/>
      <c r="AG641" s="76">
        <v>0</v>
      </c>
      <c r="AH641"/>
      <c r="AI641" s="76">
        <f t="shared" si="9"/>
        <v>27476.31</v>
      </c>
      <c r="AJ641" s="10"/>
    </row>
    <row r="642" spans="1:39" s="21" customFormat="1" ht="12" customHeight="1" x14ac:dyDescent="0.2">
      <c r="A642" s="1" t="s">
        <v>385</v>
      </c>
      <c r="B642" s="1"/>
      <c r="C642" s="1" t="s">
        <v>378</v>
      </c>
      <c r="D642" s="1"/>
      <c r="E642" s="76">
        <v>1064162.99</v>
      </c>
      <c r="F642" s="76"/>
      <c r="G642" s="76">
        <v>0</v>
      </c>
      <c r="H642" s="76"/>
      <c r="I642" s="76">
        <v>233569.3</v>
      </c>
      <c r="J642" s="76"/>
      <c r="K642" s="76">
        <v>0</v>
      </c>
      <c r="L642" s="76"/>
      <c r="M642" s="76">
        <v>0</v>
      </c>
      <c r="N642" s="76"/>
      <c r="O642" s="76">
        <v>101813.68</v>
      </c>
      <c r="P642" s="76"/>
      <c r="Q642" s="76">
        <v>1952.88</v>
      </c>
      <c r="R642" s="76"/>
      <c r="S642" s="76">
        <v>20740.169999999998</v>
      </c>
      <c r="T642" s="76"/>
      <c r="U642" s="76">
        <v>0</v>
      </c>
      <c r="V642" s="76"/>
      <c r="W642" s="76">
        <v>0</v>
      </c>
      <c r="X642" s="76"/>
      <c r="Y642" s="76">
        <v>0</v>
      </c>
      <c r="Z642" s="76"/>
      <c r="AA642" s="76">
        <v>0</v>
      </c>
      <c r="AB642" s="76"/>
      <c r="AC642" s="76">
        <v>0</v>
      </c>
      <c r="AD642" s="76"/>
      <c r="AE642" s="76">
        <v>0</v>
      </c>
      <c r="AF642" s="76"/>
      <c r="AG642" s="76">
        <v>0</v>
      </c>
      <c r="AH642" s="81"/>
      <c r="AI642" s="76">
        <f t="shared" si="9"/>
        <v>1422239.0199999998</v>
      </c>
      <c r="AJ642" s="10"/>
    </row>
    <row r="643" spans="1:39" s="21" customFormat="1" ht="12" customHeight="1" x14ac:dyDescent="0.2">
      <c r="A643" s="1" t="s">
        <v>503</v>
      </c>
      <c r="B643" s="1"/>
      <c r="C643" s="1" t="s">
        <v>500</v>
      </c>
      <c r="D643" s="1"/>
      <c r="E643" s="76">
        <v>76021.34</v>
      </c>
      <c r="F643" s="76"/>
      <c r="G643" s="76">
        <v>0</v>
      </c>
      <c r="H643" s="76"/>
      <c r="I643" s="76">
        <v>21994.75</v>
      </c>
      <c r="J643" s="76"/>
      <c r="K643" s="76">
        <v>0</v>
      </c>
      <c r="L643" s="76"/>
      <c r="M643" s="76">
        <v>0</v>
      </c>
      <c r="N643" s="76"/>
      <c r="O643" s="76">
        <v>44302.19</v>
      </c>
      <c r="P643" s="76"/>
      <c r="Q643" s="76">
        <v>3766.11</v>
      </c>
      <c r="R643" s="76"/>
      <c r="S643" s="76">
        <v>60847.6</v>
      </c>
      <c r="T643" s="76"/>
      <c r="U643" s="76">
        <v>0</v>
      </c>
      <c r="V643" s="76"/>
      <c r="W643" s="76">
        <v>0</v>
      </c>
      <c r="X643" s="76"/>
      <c r="Y643" s="76">
        <v>0</v>
      </c>
      <c r="Z643" s="76"/>
      <c r="AA643" s="76">
        <v>0</v>
      </c>
      <c r="AB643" s="76"/>
      <c r="AC643" s="76">
        <v>0</v>
      </c>
      <c r="AD643" s="76"/>
      <c r="AE643" s="76">
        <v>0</v>
      </c>
      <c r="AF643" s="76"/>
      <c r="AG643" s="76">
        <v>0</v>
      </c>
      <c r="AH643"/>
      <c r="AI643" s="76">
        <f t="shared" si="9"/>
        <v>206931.99</v>
      </c>
      <c r="AJ643" s="10"/>
      <c r="AK643" s="1"/>
      <c r="AL643" s="1"/>
      <c r="AM643" s="1"/>
    </row>
    <row r="644" spans="1:39" s="21" customFormat="1" ht="12" customHeight="1" x14ac:dyDescent="0.2">
      <c r="A644" s="1" t="s">
        <v>67</v>
      </c>
      <c r="B644" s="1"/>
      <c r="C644" s="1" t="s">
        <v>756</v>
      </c>
      <c r="D644" s="1"/>
      <c r="E644" s="76">
        <v>10494.8</v>
      </c>
      <c r="F644" s="76"/>
      <c r="G644" s="76">
        <v>46878.34</v>
      </c>
      <c r="H644" s="76"/>
      <c r="I644" s="76">
        <v>11609.39</v>
      </c>
      <c r="J644" s="76"/>
      <c r="K644" s="76">
        <v>0</v>
      </c>
      <c r="L644" s="76"/>
      <c r="M644" s="76">
        <v>0</v>
      </c>
      <c r="N644" s="76"/>
      <c r="O644" s="76">
        <v>0</v>
      </c>
      <c r="P644" s="76"/>
      <c r="Q644" s="76">
        <v>410.88</v>
      </c>
      <c r="R644" s="76"/>
      <c r="S644" s="76">
        <v>4849.22</v>
      </c>
      <c r="T644" s="76"/>
      <c r="U644" s="76">
        <v>0</v>
      </c>
      <c r="V644" s="76"/>
      <c r="W644" s="76">
        <v>0</v>
      </c>
      <c r="X644" s="76"/>
      <c r="Y644" s="76">
        <v>0</v>
      </c>
      <c r="Z644" s="76"/>
      <c r="AA644" s="76">
        <v>92.18</v>
      </c>
      <c r="AB644" s="76"/>
      <c r="AC644" s="76">
        <v>0</v>
      </c>
      <c r="AD644" s="76"/>
      <c r="AE644" s="76">
        <v>0</v>
      </c>
      <c r="AF644" s="76"/>
      <c r="AG644" s="76">
        <v>0</v>
      </c>
      <c r="AH644"/>
      <c r="AI644" s="76">
        <f t="shared" si="9"/>
        <v>74334.81</v>
      </c>
      <c r="AJ644" s="10"/>
      <c r="AK644" s="22"/>
      <c r="AL644" s="22"/>
      <c r="AM644" s="22"/>
    </row>
    <row r="645" spans="1:39" ht="12" customHeight="1" x14ac:dyDescent="0.2">
      <c r="A645" s="36" t="s">
        <v>120</v>
      </c>
      <c r="B645" s="36"/>
      <c r="C645" s="36" t="s">
        <v>770</v>
      </c>
      <c r="D645" s="36"/>
      <c r="E645" s="76">
        <v>68614.13</v>
      </c>
      <c r="F645" s="76"/>
      <c r="G645" s="76">
        <v>0</v>
      </c>
      <c r="H645" s="76"/>
      <c r="I645" s="76">
        <v>33055.08</v>
      </c>
      <c r="J645" s="76"/>
      <c r="K645" s="76">
        <v>0</v>
      </c>
      <c r="L645" s="76"/>
      <c r="M645" s="76">
        <v>0</v>
      </c>
      <c r="N645" s="76"/>
      <c r="O645" s="76">
        <v>51503</v>
      </c>
      <c r="P645" s="76"/>
      <c r="Q645" s="76">
        <v>371.7</v>
      </c>
      <c r="R645" s="76"/>
      <c r="S645" s="76">
        <v>28671.58</v>
      </c>
      <c r="T645" s="76"/>
      <c r="U645" s="76">
        <v>0</v>
      </c>
      <c r="V645" s="76"/>
      <c r="W645" s="76">
        <v>0</v>
      </c>
      <c r="X645" s="76"/>
      <c r="Y645" s="76">
        <v>0</v>
      </c>
      <c r="Z645" s="76"/>
      <c r="AA645" s="76">
        <v>0</v>
      </c>
      <c r="AB645" s="76"/>
      <c r="AC645" s="76">
        <v>0</v>
      </c>
      <c r="AD645" s="76"/>
      <c r="AE645" s="76">
        <v>0</v>
      </c>
      <c r="AF645" s="76"/>
      <c r="AG645" s="76">
        <v>0</v>
      </c>
      <c r="AH645"/>
      <c r="AI645" s="76">
        <f t="shared" si="9"/>
        <v>182215.49000000005</v>
      </c>
      <c r="AJ645" s="36"/>
      <c r="AK645" s="47"/>
      <c r="AL645" s="47"/>
      <c r="AM645" s="47"/>
    </row>
    <row r="646" spans="1:39" s="21" customFormat="1" ht="12" customHeight="1" x14ac:dyDescent="0.2">
      <c r="A646" s="1" t="s">
        <v>434</v>
      </c>
      <c r="B646" s="1"/>
      <c r="C646" s="1" t="s">
        <v>430</v>
      </c>
      <c r="D646" s="1"/>
      <c r="E646" s="76">
        <v>280143</v>
      </c>
      <c r="F646" s="76"/>
      <c r="G646" s="76">
        <v>84600</v>
      </c>
      <c r="H646" s="76"/>
      <c r="I646" s="76">
        <v>41490</v>
      </c>
      <c r="J646" s="76"/>
      <c r="K646" s="76">
        <v>0</v>
      </c>
      <c r="L646" s="76"/>
      <c r="M646" s="76">
        <v>0</v>
      </c>
      <c r="N646" s="76"/>
      <c r="O646" s="76">
        <v>11078</v>
      </c>
      <c r="P646" s="76"/>
      <c r="Q646" s="76">
        <v>271</v>
      </c>
      <c r="R646" s="76"/>
      <c r="S646" s="76">
        <v>35963</v>
      </c>
      <c r="T646" s="76"/>
      <c r="U646" s="76">
        <v>0</v>
      </c>
      <c r="V646" s="76"/>
      <c r="W646" s="76">
        <v>0</v>
      </c>
      <c r="X646" s="76"/>
      <c r="Y646" s="76">
        <v>0</v>
      </c>
      <c r="Z646" s="76"/>
      <c r="AA646" s="76">
        <v>0</v>
      </c>
      <c r="AB646" s="76"/>
      <c r="AC646" s="76">
        <v>0</v>
      </c>
      <c r="AD646" s="76"/>
      <c r="AE646" s="76">
        <v>0</v>
      </c>
      <c r="AF646" s="76"/>
      <c r="AG646" s="76">
        <v>0</v>
      </c>
      <c r="AH646" s="76"/>
      <c r="AI646" s="76">
        <f t="shared" si="9"/>
        <v>453545</v>
      </c>
      <c r="AJ646" s="10"/>
    </row>
    <row r="647" spans="1:39" s="21" customFormat="1" ht="12" customHeight="1" x14ac:dyDescent="0.2">
      <c r="A647" s="1" t="s">
        <v>844</v>
      </c>
      <c r="B647" s="1"/>
      <c r="C647" s="1" t="s">
        <v>750</v>
      </c>
      <c r="D647" s="1"/>
      <c r="E647" s="76">
        <v>4636.8500000000004</v>
      </c>
      <c r="F647" s="76"/>
      <c r="G647" s="76">
        <v>0</v>
      </c>
      <c r="H647" s="76"/>
      <c r="I647" s="76">
        <v>8121.66</v>
      </c>
      <c r="J647" s="76"/>
      <c r="K647" s="76">
        <v>0</v>
      </c>
      <c r="L647" s="76"/>
      <c r="M647" s="76">
        <v>100</v>
      </c>
      <c r="N647" s="76"/>
      <c r="O647" s="76">
        <v>0</v>
      </c>
      <c r="P647" s="76"/>
      <c r="Q647" s="76">
        <v>124.72</v>
      </c>
      <c r="R647" s="76"/>
      <c r="S647" s="76">
        <v>0</v>
      </c>
      <c r="T647" s="76"/>
      <c r="U647" s="76">
        <v>0</v>
      </c>
      <c r="V647" s="76"/>
      <c r="W647" s="76">
        <v>0</v>
      </c>
      <c r="X647" s="76"/>
      <c r="Y647" s="76">
        <v>0</v>
      </c>
      <c r="Z647" s="76"/>
      <c r="AA647" s="76">
        <v>0</v>
      </c>
      <c r="AB647" s="76"/>
      <c r="AC647" s="76">
        <v>0</v>
      </c>
      <c r="AD647" s="76"/>
      <c r="AE647" s="76">
        <v>0</v>
      </c>
      <c r="AF647" s="76"/>
      <c r="AG647" s="76">
        <v>0</v>
      </c>
      <c r="AH647" s="81"/>
      <c r="AI647" s="76">
        <f t="shared" si="9"/>
        <v>12983.23</v>
      </c>
      <c r="AJ647" s="10"/>
      <c r="AK647" s="22"/>
      <c r="AL647" s="22"/>
      <c r="AM647" s="22"/>
    </row>
    <row r="648" spans="1:39" s="21" customFormat="1" ht="12" customHeight="1" x14ac:dyDescent="0.2">
      <c r="A648" s="1" t="s">
        <v>607</v>
      </c>
      <c r="B648" s="1"/>
      <c r="C648" s="1" t="s">
        <v>601</v>
      </c>
      <c r="D648" s="1"/>
      <c r="E648" s="76">
        <v>21886.07</v>
      </c>
      <c r="F648" s="76"/>
      <c r="G648" s="76">
        <v>75480.2</v>
      </c>
      <c r="H648" s="76"/>
      <c r="I648" s="76">
        <v>13915.02</v>
      </c>
      <c r="J648" s="76"/>
      <c r="K648" s="76">
        <v>0</v>
      </c>
      <c r="L648" s="76"/>
      <c r="M648" s="76">
        <v>0</v>
      </c>
      <c r="N648" s="76"/>
      <c r="O648" s="76">
        <v>3935.96</v>
      </c>
      <c r="P648" s="76"/>
      <c r="Q648" s="76">
        <v>156.01</v>
      </c>
      <c r="R648" s="76"/>
      <c r="S648" s="76">
        <v>4032.72</v>
      </c>
      <c r="T648" s="76"/>
      <c r="U648" s="76">
        <v>0</v>
      </c>
      <c r="V648" s="76"/>
      <c r="W648" s="76">
        <v>0</v>
      </c>
      <c r="X648" s="76"/>
      <c r="Y648" s="76">
        <v>0</v>
      </c>
      <c r="Z648" s="76"/>
      <c r="AA648" s="76">
        <v>0</v>
      </c>
      <c r="AB648" s="76"/>
      <c r="AC648" s="76">
        <v>0</v>
      </c>
      <c r="AD648" s="76"/>
      <c r="AE648" s="76">
        <v>0</v>
      </c>
      <c r="AF648" s="76"/>
      <c r="AG648" s="76">
        <v>0</v>
      </c>
      <c r="AH648"/>
      <c r="AI648" s="76">
        <f t="shared" si="9"/>
        <v>119405.98</v>
      </c>
      <c r="AJ648" s="10"/>
      <c r="AK648" s="1"/>
      <c r="AL648" s="1"/>
      <c r="AM648" s="1"/>
    </row>
    <row r="649" spans="1:39" ht="12" customHeight="1" x14ac:dyDescent="0.2">
      <c r="A649" s="1" t="s">
        <v>940</v>
      </c>
      <c r="C649" s="1" t="s">
        <v>271</v>
      </c>
      <c r="E649" s="76">
        <v>14889</v>
      </c>
      <c r="F649" s="76"/>
      <c r="G649" s="76">
        <v>0</v>
      </c>
      <c r="H649" s="76"/>
      <c r="I649" s="76">
        <v>10141</v>
      </c>
      <c r="J649" s="76"/>
      <c r="K649" s="76">
        <v>0</v>
      </c>
      <c r="L649" s="76"/>
      <c r="M649" s="76">
        <v>1500</v>
      </c>
      <c r="N649" s="76"/>
      <c r="O649" s="76">
        <v>11834</v>
      </c>
      <c r="P649" s="76"/>
      <c r="Q649" s="76">
        <v>0</v>
      </c>
      <c r="R649" s="76"/>
      <c r="S649" s="76">
        <v>4747</v>
      </c>
      <c r="T649" s="76"/>
      <c r="U649" s="76">
        <v>0</v>
      </c>
      <c r="V649" s="76"/>
      <c r="W649" s="76">
        <v>0</v>
      </c>
      <c r="X649" s="76"/>
      <c r="Y649" s="76">
        <v>0</v>
      </c>
      <c r="Z649" s="76"/>
      <c r="AA649" s="76">
        <v>0</v>
      </c>
      <c r="AB649" s="76"/>
      <c r="AC649" s="76">
        <v>0</v>
      </c>
      <c r="AD649" s="76"/>
      <c r="AE649" s="76">
        <v>0</v>
      </c>
      <c r="AF649" s="76"/>
      <c r="AG649" s="76">
        <v>0</v>
      </c>
      <c r="AH649" s="76"/>
      <c r="AI649" s="76">
        <f t="shared" si="9"/>
        <v>43111</v>
      </c>
      <c r="AJ649" s="10"/>
    </row>
    <row r="650" spans="1:39" ht="12" customHeight="1" x14ac:dyDescent="0.2">
      <c r="A650" s="1" t="s">
        <v>560</v>
      </c>
      <c r="C650" s="1" t="s">
        <v>560</v>
      </c>
      <c r="E650" s="76">
        <v>60491.65</v>
      </c>
      <c r="F650" s="76"/>
      <c r="G650" s="76">
        <v>70355.42</v>
      </c>
      <c r="H650" s="76"/>
      <c r="I650" s="76">
        <v>23686.9</v>
      </c>
      <c r="J650" s="76"/>
      <c r="K650" s="76">
        <v>847.17</v>
      </c>
      <c r="L650" s="76"/>
      <c r="M650" s="76">
        <v>53877.62</v>
      </c>
      <c r="N650" s="76"/>
      <c r="O650" s="76">
        <v>1610</v>
      </c>
      <c r="P650" s="76"/>
      <c r="Q650" s="76">
        <v>1379.93</v>
      </c>
      <c r="R650" s="76"/>
      <c r="S650" s="76">
        <v>6697.88</v>
      </c>
      <c r="T650" s="76"/>
      <c r="U650" s="76">
        <v>0</v>
      </c>
      <c r="V650" s="76"/>
      <c r="W650" s="76">
        <v>0</v>
      </c>
      <c r="X650" s="76"/>
      <c r="Y650" s="76">
        <v>0</v>
      </c>
      <c r="Z650" s="76"/>
      <c r="AA650" s="76">
        <v>0</v>
      </c>
      <c r="AB650" s="76"/>
      <c r="AC650" s="76">
        <v>0</v>
      </c>
      <c r="AD650" s="76"/>
      <c r="AE650" s="76">
        <v>0</v>
      </c>
      <c r="AF650" s="76"/>
      <c r="AG650" s="76">
        <v>0</v>
      </c>
      <c r="AH650"/>
      <c r="AI650" s="76">
        <f t="shared" si="9"/>
        <v>218946.57</v>
      </c>
      <c r="AJ650" s="10"/>
    </row>
    <row r="651" spans="1:39" ht="12" customHeight="1" x14ac:dyDescent="0.2">
      <c r="A651" s="1" t="s">
        <v>337</v>
      </c>
      <c r="C651" s="1" t="s">
        <v>329</v>
      </c>
      <c r="E651" s="76">
        <v>141655</v>
      </c>
      <c r="F651" s="76"/>
      <c r="G651" s="76">
        <v>218064</v>
      </c>
      <c r="H651" s="76"/>
      <c r="I651" s="76">
        <v>16031</v>
      </c>
      <c r="J651" s="76"/>
      <c r="K651" s="76">
        <v>0</v>
      </c>
      <c r="L651" s="76"/>
      <c r="M651" s="76">
        <v>104648</v>
      </c>
      <c r="N651" s="76"/>
      <c r="O651" s="76">
        <v>34482</v>
      </c>
      <c r="P651" s="76"/>
      <c r="Q651" s="76">
        <v>882</v>
      </c>
      <c r="R651" s="76"/>
      <c r="S651" s="76">
        <v>11596</v>
      </c>
      <c r="T651" s="76"/>
      <c r="U651" s="76">
        <v>0</v>
      </c>
      <c r="V651" s="76"/>
      <c r="W651" s="76">
        <v>0</v>
      </c>
      <c r="X651" s="76"/>
      <c r="Y651" s="76">
        <v>0</v>
      </c>
      <c r="Z651" s="76"/>
      <c r="AA651" s="76">
        <v>0</v>
      </c>
      <c r="AB651" s="76"/>
      <c r="AC651" s="76">
        <v>0</v>
      </c>
      <c r="AD651" s="76"/>
      <c r="AE651" s="76">
        <v>0</v>
      </c>
      <c r="AF651" s="76"/>
      <c r="AG651" s="76">
        <v>0</v>
      </c>
      <c r="AH651" s="76"/>
      <c r="AI651" s="76">
        <f t="shared" si="9"/>
        <v>527358</v>
      </c>
      <c r="AJ651" s="10"/>
      <c r="AK651" s="7"/>
      <c r="AL651" s="7"/>
      <c r="AM651" s="7"/>
    </row>
    <row r="652" spans="1:39" s="21" customFormat="1" ht="12" customHeight="1" x14ac:dyDescent="0.2">
      <c r="A652" s="10" t="s">
        <v>569</v>
      </c>
      <c r="B652" s="10"/>
      <c r="C652" s="10" t="s">
        <v>570</v>
      </c>
      <c r="D652" s="10"/>
      <c r="E652" s="76">
        <v>7762.59</v>
      </c>
      <c r="F652" s="76"/>
      <c r="G652" s="76">
        <v>0</v>
      </c>
      <c r="H652" s="76"/>
      <c r="I652" s="76">
        <v>5897.81</v>
      </c>
      <c r="J652" s="76"/>
      <c r="K652" s="76">
        <v>0</v>
      </c>
      <c r="L652" s="76"/>
      <c r="M652" s="76">
        <v>495</v>
      </c>
      <c r="N652" s="76"/>
      <c r="O652" s="76">
        <v>1160</v>
      </c>
      <c r="P652" s="76"/>
      <c r="Q652" s="76">
        <v>5.3</v>
      </c>
      <c r="R652" s="76"/>
      <c r="S652" s="76">
        <v>0</v>
      </c>
      <c r="T652" s="76"/>
      <c r="U652" s="76">
        <v>0</v>
      </c>
      <c r="V652" s="76"/>
      <c r="W652" s="76">
        <v>0</v>
      </c>
      <c r="X652" s="76"/>
      <c r="Y652" s="76">
        <v>0</v>
      </c>
      <c r="Z652" s="76"/>
      <c r="AA652" s="76">
        <v>0</v>
      </c>
      <c r="AB652" s="76"/>
      <c r="AC652" s="76">
        <v>0</v>
      </c>
      <c r="AD652" s="76"/>
      <c r="AE652" s="76">
        <v>0</v>
      </c>
      <c r="AF652" s="76"/>
      <c r="AG652" s="76">
        <v>0</v>
      </c>
      <c r="AH652"/>
      <c r="AI652" s="76">
        <f t="shared" si="9"/>
        <v>15320.7</v>
      </c>
      <c r="AJ652" s="10"/>
      <c r="AK652" s="10"/>
      <c r="AL652" s="10"/>
      <c r="AM652" s="10"/>
    </row>
    <row r="653" spans="1:39" s="21" customFormat="1" ht="12" customHeight="1" x14ac:dyDescent="0.2">
      <c r="A653" s="1" t="s">
        <v>13</v>
      </c>
      <c r="B653" s="1"/>
      <c r="C653" s="1" t="s">
        <v>740</v>
      </c>
      <c r="D653" s="1"/>
      <c r="E653" s="76">
        <v>5000.34</v>
      </c>
      <c r="F653" s="76"/>
      <c r="G653" s="76">
        <v>0</v>
      </c>
      <c r="H653" s="76"/>
      <c r="I653" s="76">
        <v>44253.120000000003</v>
      </c>
      <c r="J653" s="76"/>
      <c r="K653" s="76">
        <v>0</v>
      </c>
      <c r="L653" s="76"/>
      <c r="M653" s="76">
        <v>0</v>
      </c>
      <c r="N653" s="76"/>
      <c r="O653" s="76">
        <v>0</v>
      </c>
      <c r="P653" s="76"/>
      <c r="Q653" s="76">
        <v>75.28</v>
      </c>
      <c r="R653" s="76"/>
      <c r="S653" s="76">
        <v>16886.54</v>
      </c>
      <c r="T653" s="76"/>
      <c r="U653" s="76">
        <v>0</v>
      </c>
      <c r="V653" s="76"/>
      <c r="W653" s="76">
        <v>0</v>
      </c>
      <c r="X653" s="76"/>
      <c r="Y653" s="76">
        <v>0</v>
      </c>
      <c r="Z653" s="76"/>
      <c r="AA653" s="76">
        <v>0</v>
      </c>
      <c r="AB653" s="76"/>
      <c r="AC653" s="76">
        <v>0</v>
      </c>
      <c r="AD653" s="76"/>
      <c r="AE653" s="76">
        <v>0</v>
      </c>
      <c r="AF653" s="76"/>
      <c r="AG653" s="76">
        <v>0</v>
      </c>
      <c r="AH653"/>
      <c r="AI653" s="76">
        <f t="shared" si="9"/>
        <v>66215.28</v>
      </c>
      <c r="AJ653" s="10"/>
      <c r="AK653" s="7"/>
      <c r="AL653" s="7"/>
      <c r="AM653" s="7"/>
    </row>
    <row r="654" spans="1:39" s="15" customFormat="1" ht="12" customHeight="1" x14ac:dyDescent="0.2">
      <c r="A654" s="1" t="s">
        <v>76</v>
      </c>
      <c r="B654" s="1"/>
      <c r="C654" s="1" t="s">
        <v>758</v>
      </c>
      <c r="D654" s="1"/>
      <c r="E654" s="76">
        <v>6710.26</v>
      </c>
      <c r="F654" s="76"/>
      <c r="G654" s="76">
        <v>948069.76</v>
      </c>
      <c r="H654" s="76"/>
      <c r="I654" s="76">
        <v>87558.11</v>
      </c>
      <c r="J654" s="76"/>
      <c r="K654" s="76">
        <v>0</v>
      </c>
      <c r="L654" s="76"/>
      <c r="M654" s="76">
        <v>0</v>
      </c>
      <c r="N654" s="76"/>
      <c r="O654" s="76">
        <v>6563.35</v>
      </c>
      <c r="P654" s="76"/>
      <c r="Q654" s="76">
        <v>675.77</v>
      </c>
      <c r="R654" s="76"/>
      <c r="S654" s="76">
        <v>2655.7</v>
      </c>
      <c r="T654" s="76"/>
      <c r="U654" s="76">
        <v>0</v>
      </c>
      <c r="V654" s="76"/>
      <c r="W654" s="76">
        <v>0</v>
      </c>
      <c r="X654" s="76"/>
      <c r="Y654" s="76">
        <v>0</v>
      </c>
      <c r="Z654" s="76"/>
      <c r="AA654" s="76">
        <v>0</v>
      </c>
      <c r="AB654" s="76"/>
      <c r="AC654" s="76">
        <v>0</v>
      </c>
      <c r="AD654" s="76"/>
      <c r="AE654" s="76">
        <v>0</v>
      </c>
      <c r="AF654" s="76"/>
      <c r="AG654" s="76">
        <v>0</v>
      </c>
      <c r="AH654"/>
      <c r="AI654" s="76">
        <f t="shared" si="9"/>
        <v>1052232.95</v>
      </c>
      <c r="AJ654" s="10"/>
      <c r="AK654" s="21"/>
      <c r="AL654" s="21"/>
      <c r="AM654" s="21"/>
    </row>
    <row r="655" spans="1:39" s="21" customFormat="1" ht="12" customHeight="1" x14ac:dyDescent="0.2">
      <c r="A655" s="1" t="s">
        <v>444</v>
      </c>
      <c r="B655" s="1"/>
      <c r="C655" s="1" t="s">
        <v>439</v>
      </c>
      <c r="D655" s="1"/>
      <c r="E655" s="76">
        <v>77865</v>
      </c>
      <c r="F655" s="76"/>
      <c r="G655" s="76">
        <v>370462</v>
      </c>
      <c r="H655" s="76"/>
      <c r="I655" s="76">
        <v>68668</v>
      </c>
      <c r="J655" s="76"/>
      <c r="K655" s="76">
        <v>0</v>
      </c>
      <c r="L655" s="76"/>
      <c r="M655" s="76">
        <v>421</v>
      </c>
      <c r="N655" s="76"/>
      <c r="O655" s="76">
        <v>25180</v>
      </c>
      <c r="P655" s="76"/>
      <c r="Q655" s="76">
        <v>1618</v>
      </c>
      <c r="R655" s="76"/>
      <c r="S655" s="76">
        <v>164328</v>
      </c>
      <c r="T655" s="76"/>
      <c r="U655" s="76">
        <v>0</v>
      </c>
      <c r="V655" s="76"/>
      <c r="W655" s="76">
        <v>0</v>
      </c>
      <c r="X655" s="76"/>
      <c r="Y655" s="76">
        <v>0</v>
      </c>
      <c r="Z655" s="76"/>
      <c r="AA655" s="76">
        <v>146000</v>
      </c>
      <c r="AB655" s="76"/>
      <c r="AC655" s="76">
        <v>0</v>
      </c>
      <c r="AD655" s="76"/>
      <c r="AE655" s="76">
        <v>0</v>
      </c>
      <c r="AF655" s="76"/>
      <c r="AG655" s="76">
        <v>0</v>
      </c>
      <c r="AH655" s="76"/>
      <c r="AI655" s="76">
        <f t="shared" si="9"/>
        <v>854542</v>
      </c>
      <c r="AJ655" s="10"/>
    </row>
    <row r="656" spans="1:39" ht="12" customHeight="1" x14ac:dyDescent="0.2">
      <c r="A656" s="1" t="s">
        <v>448</v>
      </c>
      <c r="C656" s="1" t="s">
        <v>446</v>
      </c>
      <c r="E656" s="76">
        <v>2897</v>
      </c>
      <c r="F656" s="76"/>
      <c r="G656" s="76">
        <v>30628</v>
      </c>
      <c r="H656" s="76"/>
      <c r="I656" s="76">
        <v>1844</v>
      </c>
      <c r="J656" s="76"/>
      <c r="K656" s="76">
        <v>0</v>
      </c>
      <c r="L656" s="76"/>
      <c r="M656" s="76">
        <v>0</v>
      </c>
      <c r="N656" s="76"/>
      <c r="O656" s="76">
        <v>1164</v>
      </c>
      <c r="P656" s="76"/>
      <c r="Q656" s="76">
        <v>398</v>
      </c>
      <c r="R656" s="76"/>
      <c r="S656" s="76">
        <v>0</v>
      </c>
      <c r="T656" s="76"/>
      <c r="U656" s="76">
        <v>0</v>
      </c>
      <c r="V656" s="76"/>
      <c r="W656" s="76">
        <v>0</v>
      </c>
      <c r="X656" s="76"/>
      <c r="Y656" s="76">
        <v>0</v>
      </c>
      <c r="Z656" s="76"/>
      <c r="AA656" s="76">
        <v>0</v>
      </c>
      <c r="AB656" s="76"/>
      <c r="AC656" s="76">
        <v>0</v>
      </c>
      <c r="AD656" s="76"/>
      <c r="AE656" s="76">
        <v>0</v>
      </c>
      <c r="AF656" s="76"/>
      <c r="AG656" s="76">
        <v>0</v>
      </c>
      <c r="AH656" s="79"/>
      <c r="AI656" s="76">
        <f t="shared" si="9"/>
        <v>36931</v>
      </c>
      <c r="AJ656" s="10"/>
    </row>
    <row r="657" spans="1:39" ht="12" customHeight="1" x14ac:dyDescent="0.2">
      <c r="A657" s="1" t="s">
        <v>326</v>
      </c>
      <c r="C657" s="1" t="s">
        <v>316</v>
      </c>
      <c r="E657" s="76">
        <v>1005583</v>
      </c>
      <c r="F657" s="76"/>
      <c r="G657" s="76">
        <v>9183646</v>
      </c>
      <c r="H657" s="76"/>
      <c r="I657" s="76">
        <v>320995</v>
      </c>
      <c r="J657" s="76"/>
      <c r="K657" s="76">
        <v>0</v>
      </c>
      <c r="L657" s="76"/>
      <c r="M657" s="76">
        <v>168989</v>
      </c>
      <c r="N657" s="76"/>
      <c r="O657" s="76">
        <v>134685</v>
      </c>
      <c r="P657" s="76"/>
      <c r="Q657" s="76">
        <v>4741</v>
      </c>
      <c r="R657" s="76"/>
      <c r="S657" s="76">
        <v>68394</v>
      </c>
      <c r="T657" s="76"/>
      <c r="U657" s="76">
        <v>0</v>
      </c>
      <c r="V657" s="76"/>
      <c r="W657" s="76">
        <v>0</v>
      </c>
      <c r="X657" s="76"/>
      <c r="Y657" s="76">
        <v>0</v>
      </c>
      <c r="Z657" s="76"/>
      <c r="AA657" s="76">
        <v>0</v>
      </c>
      <c r="AB657" s="76"/>
      <c r="AC657" s="76">
        <v>92996</v>
      </c>
      <c r="AD657" s="76"/>
      <c r="AE657" s="76">
        <v>110000</v>
      </c>
      <c r="AF657" s="76"/>
      <c r="AG657" s="76">
        <v>0</v>
      </c>
      <c r="AH657" s="82"/>
      <c r="AI657" s="76">
        <f t="shared" si="9"/>
        <v>11090029</v>
      </c>
      <c r="AJ657" s="10"/>
      <c r="AK657" s="7"/>
      <c r="AL657" s="7"/>
      <c r="AM657" s="7"/>
    </row>
    <row r="658" spans="1:39" ht="12" customHeight="1" x14ac:dyDescent="0.2">
      <c r="A658" s="1" t="s">
        <v>77</v>
      </c>
      <c r="C658" s="1" t="s">
        <v>758</v>
      </c>
      <c r="E658" s="76">
        <v>54711.07</v>
      </c>
      <c r="F658" s="76"/>
      <c r="G658" s="76">
        <v>55796.29</v>
      </c>
      <c r="H658" s="76"/>
      <c r="I658" s="76">
        <v>57499.13</v>
      </c>
      <c r="J658" s="76"/>
      <c r="K658" s="76">
        <v>0</v>
      </c>
      <c r="L658" s="76"/>
      <c r="M658" s="76">
        <v>0</v>
      </c>
      <c r="N658" s="76"/>
      <c r="O658" s="76">
        <v>53062.95</v>
      </c>
      <c r="P658" s="76"/>
      <c r="Q658" s="76">
        <v>46.7</v>
      </c>
      <c r="R658" s="76"/>
      <c r="S658" s="76">
        <v>6400.76</v>
      </c>
      <c r="T658" s="76"/>
      <c r="U658" s="76">
        <v>0</v>
      </c>
      <c r="V658" s="76"/>
      <c r="W658" s="76">
        <v>0</v>
      </c>
      <c r="X658" s="76"/>
      <c r="Y658" s="76">
        <v>0</v>
      </c>
      <c r="Z658" s="76"/>
      <c r="AA658" s="76">
        <v>0</v>
      </c>
      <c r="AB658" s="76"/>
      <c r="AC658" s="76">
        <v>0</v>
      </c>
      <c r="AD658" s="76"/>
      <c r="AE658" s="76">
        <v>16.07</v>
      </c>
      <c r="AF658" s="76"/>
      <c r="AG658" s="76">
        <v>0</v>
      </c>
      <c r="AH658"/>
      <c r="AI658" s="76">
        <f t="shared" si="9"/>
        <v>227532.97000000003</v>
      </c>
      <c r="AJ658" s="10"/>
      <c r="AK658" s="21"/>
      <c r="AL658" s="21"/>
      <c r="AM658" s="21"/>
    </row>
    <row r="659" spans="1:39" s="21" customFormat="1" ht="12" customHeight="1" x14ac:dyDescent="0.2">
      <c r="A659" s="1" t="s">
        <v>393</v>
      </c>
      <c r="B659" s="1"/>
      <c r="C659" s="1" t="s">
        <v>388</v>
      </c>
      <c r="D659" s="1"/>
      <c r="E659" s="76">
        <v>24906.97</v>
      </c>
      <c r="F659" s="76"/>
      <c r="G659" s="76">
        <v>0</v>
      </c>
      <c r="H659" s="76"/>
      <c r="I659" s="76">
        <v>28016.41</v>
      </c>
      <c r="J659" s="76"/>
      <c r="K659" s="76">
        <v>0</v>
      </c>
      <c r="L659" s="76"/>
      <c r="M659" s="76">
        <v>0</v>
      </c>
      <c r="N659" s="76"/>
      <c r="O659" s="76">
        <v>826</v>
      </c>
      <c r="P659" s="76"/>
      <c r="Q659" s="76">
        <v>101.81</v>
      </c>
      <c r="R659" s="76"/>
      <c r="S659" s="76">
        <v>0</v>
      </c>
      <c r="T659" s="76"/>
      <c r="U659" s="76">
        <v>0</v>
      </c>
      <c r="V659" s="76"/>
      <c r="W659" s="76">
        <v>0</v>
      </c>
      <c r="X659" s="76"/>
      <c r="Y659" s="76">
        <v>0</v>
      </c>
      <c r="Z659" s="76"/>
      <c r="AA659" s="76">
        <v>0</v>
      </c>
      <c r="AB659" s="76"/>
      <c r="AC659" s="76">
        <v>0</v>
      </c>
      <c r="AD659" s="76"/>
      <c r="AE659" s="76">
        <v>0</v>
      </c>
      <c r="AF659" s="76"/>
      <c r="AG659" s="76">
        <v>0</v>
      </c>
      <c r="AH659" s="81"/>
      <c r="AI659" s="76">
        <f t="shared" si="9"/>
        <v>53851.19</v>
      </c>
      <c r="AJ659" s="10"/>
    </row>
    <row r="660" spans="1:39" ht="12" customHeight="1" x14ac:dyDescent="0.2">
      <c r="A660" s="1" t="s">
        <v>394</v>
      </c>
      <c r="C660" s="1" t="s">
        <v>388</v>
      </c>
      <c r="E660" s="76">
        <v>4726.59</v>
      </c>
      <c r="F660" s="76"/>
      <c r="G660" s="76">
        <v>0</v>
      </c>
      <c r="H660" s="76"/>
      <c r="I660" s="76">
        <v>34279.25</v>
      </c>
      <c r="J660" s="76"/>
      <c r="K660" s="76">
        <v>0</v>
      </c>
      <c r="L660" s="76"/>
      <c r="M660" s="76">
        <v>0</v>
      </c>
      <c r="N660" s="76"/>
      <c r="O660" s="76">
        <v>725</v>
      </c>
      <c r="P660" s="76"/>
      <c r="Q660" s="76">
        <v>447.11</v>
      </c>
      <c r="R660" s="76"/>
      <c r="S660" s="76">
        <v>13663.14</v>
      </c>
      <c r="T660" s="76"/>
      <c r="U660" s="76">
        <v>0</v>
      </c>
      <c r="V660" s="76"/>
      <c r="W660" s="76">
        <v>0</v>
      </c>
      <c r="X660" s="76"/>
      <c r="Y660" s="76">
        <v>0</v>
      </c>
      <c r="Z660" s="76"/>
      <c r="AA660" s="76">
        <v>0</v>
      </c>
      <c r="AB660" s="76"/>
      <c r="AC660" s="76">
        <v>0</v>
      </c>
      <c r="AD660" s="76"/>
      <c r="AE660" s="76">
        <v>0</v>
      </c>
      <c r="AF660" s="76"/>
      <c r="AG660" s="76">
        <v>0</v>
      </c>
      <c r="AH660" s="81"/>
      <c r="AI660" s="76">
        <f t="shared" si="9"/>
        <v>53841.09</v>
      </c>
      <c r="AJ660" s="10"/>
    </row>
    <row r="661" spans="1:39" ht="12" customHeight="1" x14ac:dyDescent="0.2">
      <c r="A661" s="1" t="s">
        <v>575</v>
      </c>
      <c r="C661" s="1" t="s">
        <v>572</v>
      </c>
      <c r="E661" s="76">
        <v>2756.96</v>
      </c>
      <c r="F661" s="76"/>
      <c r="G661" s="76">
        <v>0</v>
      </c>
      <c r="H661" s="76"/>
      <c r="I661" s="76">
        <v>11400.38</v>
      </c>
      <c r="J661" s="76"/>
      <c r="K661" s="76">
        <v>0</v>
      </c>
      <c r="L661" s="76"/>
      <c r="M661" s="76">
        <v>0</v>
      </c>
      <c r="N661" s="76"/>
      <c r="O661" s="76">
        <v>0</v>
      </c>
      <c r="P661" s="76"/>
      <c r="Q661" s="76">
        <v>29.73</v>
      </c>
      <c r="R661" s="76"/>
      <c r="S661" s="76">
        <v>514.20000000000005</v>
      </c>
      <c r="T661" s="76"/>
      <c r="U661" s="76">
        <v>0</v>
      </c>
      <c r="V661" s="76"/>
      <c r="W661" s="76">
        <v>0</v>
      </c>
      <c r="X661" s="76"/>
      <c r="Y661" s="76">
        <v>0</v>
      </c>
      <c r="Z661" s="76"/>
      <c r="AA661" s="76">
        <v>0</v>
      </c>
      <c r="AB661" s="76"/>
      <c r="AC661" s="76">
        <v>0</v>
      </c>
      <c r="AD661" s="76"/>
      <c r="AE661" s="76">
        <v>0</v>
      </c>
      <c r="AF661" s="76"/>
      <c r="AG661" s="76">
        <v>0</v>
      </c>
      <c r="AH661"/>
      <c r="AI661" s="76">
        <f t="shared" si="9"/>
        <v>14701.27</v>
      </c>
      <c r="AJ661" s="10"/>
    </row>
    <row r="662" spans="1:39" s="21" customFormat="1" ht="12" customHeight="1" x14ac:dyDescent="0.2">
      <c r="A662" s="15" t="s">
        <v>511</v>
      </c>
      <c r="B662" s="15"/>
      <c r="C662" s="15" t="s">
        <v>509</v>
      </c>
      <c r="D662" s="15"/>
      <c r="E662" s="76">
        <v>48313</v>
      </c>
      <c r="F662" s="76"/>
      <c r="G662" s="76">
        <v>0</v>
      </c>
      <c r="H662" s="76"/>
      <c r="I662" s="76">
        <f>4960+257</f>
        <v>5217</v>
      </c>
      <c r="J662" s="76"/>
      <c r="K662" s="76">
        <v>0</v>
      </c>
      <c r="L662" s="76"/>
      <c r="M662" s="76">
        <v>0</v>
      </c>
      <c r="N662" s="76"/>
      <c r="O662" s="76">
        <v>1370</v>
      </c>
      <c r="P662" s="76"/>
      <c r="Q662" s="76">
        <v>381</v>
      </c>
      <c r="R662" s="76"/>
      <c r="S662" s="76">
        <v>30428</v>
      </c>
      <c r="T662" s="76"/>
      <c r="U662" s="76">
        <v>0</v>
      </c>
      <c r="V662" s="76"/>
      <c r="W662" s="76">
        <v>0</v>
      </c>
      <c r="X662" s="76"/>
      <c r="Y662" s="76">
        <v>0</v>
      </c>
      <c r="Z662" s="76"/>
      <c r="AA662" s="76">
        <v>0</v>
      </c>
      <c r="AB662" s="76"/>
      <c r="AC662" s="76">
        <v>0</v>
      </c>
      <c r="AD662" s="76"/>
      <c r="AE662" s="76">
        <v>0</v>
      </c>
      <c r="AF662" s="76"/>
      <c r="AG662" s="76">
        <v>0</v>
      </c>
      <c r="AH662" s="77"/>
      <c r="AI662" s="76">
        <f t="shared" si="9"/>
        <v>85709</v>
      </c>
      <c r="AJ662" s="24"/>
      <c r="AK662" s="15"/>
      <c r="AL662" s="15"/>
      <c r="AM662" s="15"/>
    </row>
    <row r="663" spans="1:39" s="21" customFormat="1" ht="12" customHeight="1" x14ac:dyDescent="0.2">
      <c r="A663" s="1" t="s">
        <v>338</v>
      </c>
      <c r="B663" s="1"/>
      <c r="C663" s="1" t="s">
        <v>329</v>
      </c>
      <c r="D663" s="1"/>
      <c r="E663" s="76">
        <v>71327</v>
      </c>
      <c r="F663" s="76"/>
      <c r="G663" s="76">
        <v>1351028</v>
      </c>
      <c r="H663" s="76"/>
      <c r="I663" s="76">
        <v>302100</v>
      </c>
      <c r="J663" s="76"/>
      <c r="K663" s="76">
        <v>0</v>
      </c>
      <c r="L663" s="76"/>
      <c r="M663" s="76">
        <v>0</v>
      </c>
      <c r="N663" s="76"/>
      <c r="O663" s="76">
        <v>14265</v>
      </c>
      <c r="P663" s="76"/>
      <c r="Q663" s="76">
        <v>39200</v>
      </c>
      <c r="R663" s="76"/>
      <c r="S663" s="76">
        <v>41496</v>
      </c>
      <c r="T663" s="76"/>
      <c r="U663" s="76">
        <v>0</v>
      </c>
      <c r="V663" s="76"/>
      <c r="W663" s="76">
        <v>0</v>
      </c>
      <c r="X663" s="76"/>
      <c r="Y663" s="76">
        <v>0</v>
      </c>
      <c r="Z663" s="76"/>
      <c r="AA663" s="76">
        <v>0</v>
      </c>
      <c r="AB663" s="76"/>
      <c r="AC663" s="76">
        <v>0</v>
      </c>
      <c r="AD663" s="76"/>
      <c r="AE663" s="76">
        <v>0</v>
      </c>
      <c r="AF663" s="76"/>
      <c r="AG663" s="76">
        <v>0</v>
      </c>
      <c r="AH663" s="76"/>
      <c r="AI663" s="76">
        <f t="shared" si="9"/>
        <v>1819416</v>
      </c>
      <c r="AJ663" s="36"/>
      <c r="AK663" s="7"/>
      <c r="AL663" s="7"/>
      <c r="AM663" s="7"/>
    </row>
    <row r="664" spans="1:39" ht="12" customHeight="1" x14ac:dyDescent="0.2">
      <c r="A664" s="1" t="s">
        <v>82</v>
      </c>
      <c r="C664" s="1" t="s">
        <v>760</v>
      </c>
      <c r="E664" s="76">
        <v>16708.95</v>
      </c>
      <c r="F664" s="76"/>
      <c r="G664" s="76">
        <v>0</v>
      </c>
      <c r="H664" s="76"/>
      <c r="I664" s="76">
        <v>52713.04</v>
      </c>
      <c r="J664" s="76"/>
      <c r="K664" s="76">
        <v>0</v>
      </c>
      <c r="L664" s="76"/>
      <c r="M664" s="76">
        <v>15850</v>
      </c>
      <c r="N664" s="76"/>
      <c r="O664" s="76">
        <v>33</v>
      </c>
      <c r="P664" s="76"/>
      <c r="Q664" s="76">
        <v>0</v>
      </c>
      <c r="R664" s="76"/>
      <c r="S664" s="76">
        <v>4458.76</v>
      </c>
      <c r="T664" s="76"/>
      <c r="U664" s="76">
        <v>0</v>
      </c>
      <c r="V664" s="76"/>
      <c r="W664" s="76">
        <v>0</v>
      </c>
      <c r="X664" s="76"/>
      <c r="Y664" s="76">
        <v>0</v>
      </c>
      <c r="Z664" s="76"/>
      <c r="AA664" s="76">
        <v>0</v>
      </c>
      <c r="AB664" s="76"/>
      <c r="AC664" s="76">
        <v>0</v>
      </c>
      <c r="AD664" s="76"/>
      <c r="AE664" s="76">
        <v>0</v>
      </c>
      <c r="AF664" s="76"/>
      <c r="AG664" s="76">
        <v>0</v>
      </c>
      <c r="AH664"/>
      <c r="AI664" s="76">
        <f t="shared" si="9"/>
        <v>89763.75</v>
      </c>
      <c r="AJ664" s="36"/>
      <c r="AK664" s="7"/>
      <c r="AL664" s="7"/>
      <c r="AM664" s="7"/>
    </row>
    <row r="665" spans="1:39" ht="12" customHeight="1" x14ac:dyDescent="0.2">
      <c r="A665" s="1" t="s">
        <v>435</v>
      </c>
      <c r="C665" s="1" t="s">
        <v>430</v>
      </c>
      <c r="E665" s="76">
        <v>617689</v>
      </c>
      <c r="F665" s="76"/>
      <c r="G665" s="76">
        <v>0</v>
      </c>
      <c r="H665" s="76"/>
      <c r="I665" s="76">
        <v>239373</v>
      </c>
      <c r="J665" s="76"/>
      <c r="K665" s="76">
        <v>0</v>
      </c>
      <c r="L665" s="76"/>
      <c r="M665" s="76">
        <v>0</v>
      </c>
      <c r="N665" s="76"/>
      <c r="O665" s="76">
        <v>4811</v>
      </c>
      <c r="P665" s="76"/>
      <c r="Q665" s="76">
        <v>461694</v>
      </c>
      <c r="R665" s="76"/>
      <c r="S665" s="76">
        <v>39469</v>
      </c>
      <c r="T665" s="76"/>
      <c r="U665" s="76">
        <v>0</v>
      </c>
      <c r="V665" s="76"/>
      <c r="W665" s="76">
        <v>0</v>
      </c>
      <c r="X665" s="76"/>
      <c r="Y665" s="76">
        <v>0</v>
      </c>
      <c r="Z665" s="76"/>
      <c r="AA665" s="76">
        <v>0</v>
      </c>
      <c r="AB665" s="76"/>
      <c r="AC665" s="76">
        <v>0</v>
      </c>
      <c r="AD665" s="76"/>
      <c r="AE665" s="76">
        <v>0</v>
      </c>
      <c r="AF665" s="76"/>
      <c r="AG665" s="76">
        <v>0</v>
      </c>
      <c r="AH665" s="76"/>
      <c r="AI665" s="76">
        <f t="shared" si="9"/>
        <v>1363036</v>
      </c>
      <c r="AJ665" s="10"/>
      <c r="AK665" s="21"/>
      <c r="AL665" s="21"/>
      <c r="AM665" s="21"/>
    </row>
    <row r="666" spans="1:39" ht="12" customHeight="1" x14ac:dyDescent="0.2">
      <c r="A666" s="1" t="s">
        <v>419</v>
      </c>
      <c r="C666" s="1" t="s">
        <v>416</v>
      </c>
      <c r="E666" s="76">
        <v>38401.42</v>
      </c>
      <c r="F666" s="76"/>
      <c r="G666" s="76">
        <v>160776.24</v>
      </c>
      <c r="H666" s="76"/>
      <c r="I666" s="76">
        <v>112161.55</v>
      </c>
      <c r="J666" s="76"/>
      <c r="K666" s="76">
        <v>666.62</v>
      </c>
      <c r="L666" s="76"/>
      <c r="M666" s="76">
        <v>0</v>
      </c>
      <c r="N666" s="76"/>
      <c r="O666" s="76">
        <v>42121.08</v>
      </c>
      <c r="P666" s="76"/>
      <c r="Q666" s="76">
        <v>141.78</v>
      </c>
      <c r="R666" s="76"/>
      <c r="S666" s="76">
        <v>7403.4</v>
      </c>
      <c r="T666" s="76"/>
      <c r="U666" s="76">
        <v>0</v>
      </c>
      <c r="V666" s="76"/>
      <c r="W666" s="76">
        <v>0</v>
      </c>
      <c r="X666" s="76"/>
      <c r="Y666" s="76">
        <v>0</v>
      </c>
      <c r="Z666" s="76"/>
      <c r="AA666" s="76">
        <v>0</v>
      </c>
      <c r="AB666" s="76"/>
      <c r="AC666" s="76">
        <v>0</v>
      </c>
      <c r="AD666" s="76"/>
      <c r="AE666" s="76">
        <v>5811</v>
      </c>
      <c r="AF666" s="76"/>
      <c r="AG666" s="76">
        <v>0</v>
      </c>
      <c r="AH666"/>
      <c r="AI666" s="76">
        <f t="shared" si="9"/>
        <v>367483.09</v>
      </c>
      <c r="AJ666" s="10"/>
      <c r="AK666" s="21"/>
      <c r="AL666" s="21"/>
      <c r="AM666" s="21"/>
    </row>
    <row r="667" spans="1:39" s="21" customFormat="1" ht="12" customHeight="1" x14ac:dyDescent="0.2">
      <c r="A667" s="1" t="s">
        <v>261</v>
      </c>
      <c r="B667" s="1"/>
      <c r="C667" s="1" t="s">
        <v>601</v>
      </c>
      <c r="D667" s="1"/>
      <c r="E667" s="76">
        <v>69398.81</v>
      </c>
      <c r="F667" s="76"/>
      <c r="G667" s="76">
        <v>603241.86</v>
      </c>
      <c r="H667" s="76"/>
      <c r="I667" s="76">
        <v>119333.98</v>
      </c>
      <c r="J667" s="76"/>
      <c r="K667" s="76">
        <v>2536.39</v>
      </c>
      <c r="L667" s="76"/>
      <c r="M667" s="76">
        <v>24661.599999999999</v>
      </c>
      <c r="N667" s="76"/>
      <c r="O667" s="76">
        <v>40650.71</v>
      </c>
      <c r="P667" s="76"/>
      <c r="Q667" s="76">
        <v>9781.6299999999992</v>
      </c>
      <c r="R667" s="76"/>
      <c r="S667" s="76">
        <v>147520.68</v>
      </c>
      <c r="T667" s="76"/>
      <c r="U667" s="76">
        <v>0</v>
      </c>
      <c r="V667" s="76"/>
      <c r="W667" s="76">
        <v>0</v>
      </c>
      <c r="X667" s="76"/>
      <c r="Y667" s="76">
        <v>0</v>
      </c>
      <c r="Z667" s="76"/>
      <c r="AA667" s="76">
        <v>0</v>
      </c>
      <c r="AB667" s="76"/>
      <c r="AC667" s="76">
        <v>0</v>
      </c>
      <c r="AD667" s="76"/>
      <c r="AE667" s="76">
        <v>0</v>
      </c>
      <c r="AF667" s="76"/>
      <c r="AG667" s="76">
        <v>0</v>
      </c>
      <c r="AH667"/>
      <c r="AI667" s="76">
        <f t="shared" si="9"/>
        <v>1017125.6599999999</v>
      </c>
      <c r="AJ667" s="10"/>
    </row>
    <row r="668" spans="1:39" s="21" customFormat="1" ht="12" customHeight="1" x14ac:dyDescent="0.2">
      <c r="A668" s="1" t="s">
        <v>151</v>
      </c>
      <c r="B668" s="1"/>
      <c r="C668" s="1" t="s">
        <v>463</v>
      </c>
      <c r="D668" s="1"/>
      <c r="E668" s="76">
        <v>35886.800000000003</v>
      </c>
      <c r="F668" s="76"/>
      <c r="G668" s="76">
        <v>0</v>
      </c>
      <c r="H668" s="76"/>
      <c r="I668" s="76">
        <v>17732.419999999998</v>
      </c>
      <c r="J668" s="76"/>
      <c r="K668" s="76">
        <v>0</v>
      </c>
      <c r="L668" s="76"/>
      <c r="M668" s="76">
        <v>0</v>
      </c>
      <c r="N668" s="76"/>
      <c r="O668" s="76">
        <v>785</v>
      </c>
      <c r="P668" s="76"/>
      <c r="Q668" s="76">
        <v>656.26</v>
      </c>
      <c r="R668" s="76"/>
      <c r="S668" s="76">
        <v>74264.039999999994</v>
      </c>
      <c r="T668" s="76"/>
      <c r="U668" s="76">
        <v>0</v>
      </c>
      <c r="V668" s="76"/>
      <c r="W668" s="76">
        <v>0</v>
      </c>
      <c r="X668" s="76"/>
      <c r="Y668" s="76">
        <v>0</v>
      </c>
      <c r="Z668" s="76"/>
      <c r="AA668" s="76">
        <v>0</v>
      </c>
      <c r="AB668" s="76"/>
      <c r="AC668" s="76">
        <v>0</v>
      </c>
      <c r="AD668" s="76"/>
      <c r="AE668" s="76">
        <v>0</v>
      </c>
      <c r="AF668" s="76"/>
      <c r="AG668" s="76">
        <v>0</v>
      </c>
      <c r="AH668"/>
      <c r="AI668" s="76">
        <f t="shared" si="9"/>
        <v>129324.51999999999</v>
      </c>
      <c r="AJ668" s="10"/>
    </row>
    <row r="669" spans="1:39" s="21" customFormat="1" ht="12" customHeight="1" x14ac:dyDescent="0.2">
      <c r="A669" s="15" t="s">
        <v>50</v>
      </c>
      <c r="B669" s="15"/>
      <c r="C669" s="15" t="s">
        <v>316</v>
      </c>
      <c r="D669" s="1"/>
      <c r="E669" s="76">
        <v>7940</v>
      </c>
      <c r="F669" s="76"/>
      <c r="G669" s="76">
        <v>3390673</v>
      </c>
      <c r="H669" s="76"/>
      <c r="I669" s="76">
        <v>295610</v>
      </c>
      <c r="J669" s="76"/>
      <c r="K669" s="76">
        <v>0</v>
      </c>
      <c r="L669" s="76"/>
      <c r="M669" s="76">
        <v>85305</v>
      </c>
      <c r="N669" s="76"/>
      <c r="O669" s="76">
        <v>242745</v>
      </c>
      <c r="P669" s="76"/>
      <c r="Q669" s="76">
        <v>0</v>
      </c>
      <c r="R669" s="76"/>
      <c r="S669" s="76">
        <v>16226</v>
      </c>
      <c r="T669" s="76"/>
      <c r="U669" s="76">
        <v>0</v>
      </c>
      <c r="V669" s="76"/>
      <c r="W669" s="76">
        <v>0</v>
      </c>
      <c r="X669" s="76"/>
      <c r="Y669" s="76">
        <v>0</v>
      </c>
      <c r="Z669" s="76"/>
      <c r="AA669" s="76">
        <v>0</v>
      </c>
      <c r="AB669" s="76"/>
      <c r="AC669" s="76">
        <v>0</v>
      </c>
      <c r="AD669" s="76"/>
      <c r="AE669" s="76">
        <v>0</v>
      </c>
      <c r="AF669" s="76"/>
      <c r="AG669" s="76">
        <v>0</v>
      </c>
      <c r="AH669" s="81"/>
      <c r="AI669" s="76">
        <f t="shared" ref="AI669:AI724" si="10">SUM(E669:AG669)</f>
        <v>4038499</v>
      </c>
      <c r="AJ669" s="10"/>
    </row>
    <row r="670" spans="1:39" s="21" customFormat="1" ht="12" customHeight="1" x14ac:dyDescent="0.2">
      <c r="A670" s="1" t="s">
        <v>835</v>
      </c>
      <c r="B670" s="1"/>
      <c r="C670" s="1" t="s">
        <v>308</v>
      </c>
      <c r="D670" s="1"/>
      <c r="E670" s="76">
        <v>53958.02</v>
      </c>
      <c r="F670" s="76"/>
      <c r="G670" s="76">
        <v>0</v>
      </c>
      <c r="H670" s="76"/>
      <c r="I670" s="76">
        <v>25787.59</v>
      </c>
      <c r="J670" s="76"/>
      <c r="K670" s="76">
        <v>0</v>
      </c>
      <c r="L670" s="76"/>
      <c r="M670" s="76">
        <v>12406.09</v>
      </c>
      <c r="N670" s="76"/>
      <c r="O670" s="76">
        <v>5690.83</v>
      </c>
      <c r="P670" s="76"/>
      <c r="Q670" s="76">
        <v>771.46</v>
      </c>
      <c r="R670" s="76"/>
      <c r="S670" s="76">
        <v>1013.96</v>
      </c>
      <c r="T670" s="76"/>
      <c r="U670" s="76">
        <v>0</v>
      </c>
      <c r="V670" s="76"/>
      <c r="W670" s="76">
        <v>0</v>
      </c>
      <c r="X670" s="76"/>
      <c r="Y670" s="76">
        <v>0</v>
      </c>
      <c r="Z670" s="76"/>
      <c r="AA670" s="76">
        <v>0</v>
      </c>
      <c r="AB670" s="76"/>
      <c r="AC670" s="76">
        <v>0</v>
      </c>
      <c r="AD670" s="76"/>
      <c r="AE670" s="76">
        <v>64.77</v>
      </c>
      <c r="AF670" s="76"/>
      <c r="AG670" s="76">
        <v>0</v>
      </c>
      <c r="AH670"/>
      <c r="AI670" s="76">
        <f t="shared" si="10"/>
        <v>99692.720000000016</v>
      </c>
      <c r="AJ670" s="10"/>
    </row>
    <row r="671" spans="1:39" s="21" customFormat="1" ht="12" customHeight="1" x14ac:dyDescent="0.2">
      <c r="A671" s="1" t="s">
        <v>48</v>
      </c>
      <c r="B671" s="1"/>
      <c r="C671" s="1" t="s">
        <v>305</v>
      </c>
      <c r="D671" s="1"/>
      <c r="E671" s="76">
        <v>19539.169999999998</v>
      </c>
      <c r="F671" s="76"/>
      <c r="G671" s="76">
        <v>0</v>
      </c>
      <c r="H671" s="76"/>
      <c r="I671" s="76">
        <v>22463.51</v>
      </c>
      <c r="J671" s="76"/>
      <c r="K671" s="76">
        <v>0</v>
      </c>
      <c r="L671" s="76"/>
      <c r="M671" s="76">
        <v>0</v>
      </c>
      <c r="N671" s="76"/>
      <c r="O671" s="76">
        <v>47413.48</v>
      </c>
      <c r="P671" s="76"/>
      <c r="Q671" s="76">
        <v>0</v>
      </c>
      <c r="R671" s="76"/>
      <c r="S671" s="76">
        <v>1043.93</v>
      </c>
      <c r="T671" s="76"/>
      <c r="U671" s="76">
        <v>0</v>
      </c>
      <c r="V671" s="76"/>
      <c r="W671" s="76">
        <v>0</v>
      </c>
      <c r="X671" s="76"/>
      <c r="Y671" s="76">
        <v>0</v>
      </c>
      <c r="Z671" s="76"/>
      <c r="AA671" s="76">
        <v>0</v>
      </c>
      <c r="AB671" s="76"/>
      <c r="AC671" s="76">
        <v>0</v>
      </c>
      <c r="AD671" s="76"/>
      <c r="AE671" s="76">
        <v>0</v>
      </c>
      <c r="AF671" s="76"/>
      <c r="AG671" s="76">
        <v>0</v>
      </c>
      <c r="AH671"/>
      <c r="AI671" s="76">
        <f t="shared" si="10"/>
        <v>90460.09</v>
      </c>
      <c r="AJ671" s="10"/>
    </row>
    <row r="672" spans="1:39" s="21" customFormat="1" ht="12" hidden="1" customHeight="1" x14ac:dyDescent="0.2">
      <c r="A672" s="1" t="s">
        <v>457</v>
      </c>
      <c r="B672" s="1"/>
      <c r="C672" s="1" t="s">
        <v>455</v>
      </c>
      <c r="D672" s="1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/>
      <c r="AI672" s="76">
        <f t="shared" si="10"/>
        <v>0</v>
      </c>
      <c r="AJ672" s="10"/>
    </row>
    <row r="673" spans="1:39" ht="12" customHeight="1" x14ac:dyDescent="0.2">
      <c r="A673" s="1" t="s">
        <v>965</v>
      </c>
      <c r="C673" s="1" t="s">
        <v>506</v>
      </c>
      <c r="E673" s="76">
        <f>1319272-1315630</f>
        <v>3642</v>
      </c>
      <c r="F673" s="76"/>
      <c r="G673" s="76">
        <v>1315630</v>
      </c>
      <c r="H673" s="76"/>
      <c r="I673" s="76">
        <v>293663</v>
      </c>
      <c r="J673" s="76"/>
      <c r="K673" s="76">
        <v>0</v>
      </c>
      <c r="L673" s="76"/>
      <c r="M673" s="76">
        <v>0</v>
      </c>
      <c r="N673" s="76"/>
      <c r="O673" s="76">
        <f>72586+108046</f>
        <v>180632</v>
      </c>
      <c r="P673" s="76"/>
      <c r="Q673" s="76">
        <v>677</v>
      </c>
      <c r="R673" s="76"/>
      <c r="S673" s="76">
        <v>18481</v>
      </c>
      <c r="T673" s="76"/>
      <c r="U673" s="76">
        <v>0</v>
      </c>
      <c r="V673" s="76"/>
      <c r="W673" s="76">
        <v>0</v>
      </c>
      <c r="X673" s="76"/>
      <c r="Y673" s="76">
        <v>0</v>
      </c>
      <c r="Z673" s="76"/>
      <c r="AA673" s="76">
        <v>0</v>
      </c>
      <c r="AB673" s="76"/>
      <c r="AC673" s="76">
        <v>0</v>
      </c>
      <c r="AD673" s="76"/>
      <c r="AE673" s="76">
        <v>0</v>
      </c>
      <c r="AF673" s="76"/>
      <c r="AG673" s="76">
        <v>0</v>
      </c>
      <c r="AH673" s="76"/>
      <c r="AI673" s="76">
        <f t="shared" si="10"/>
        <v>1812725</v>
      </c>
      <c r="AJ673" s="10"/>
      <c r="AK673" s="21"/>
      <c r="AL673" s="21"/>
      <c r="AM673" s="21"/>
    </row>
    <row r="674" spans="1:39" s="21" customFormat="1" ht="12" customHeight="1" x14ac:dyDescent="0.2">
      <c r="A674" s="1" t="s">
        <v>588</v>
      </c>
      <c r="B674" s="1"/>
      <c r="C674" s="1" t="s">
        <v>601</v>
      </c>
      <c r="D674" s="1"/>
      <c r="E674" s="76">
        <v>20694</v>
      </c>
      <c r="F674" s="76"/>
      <c r="G674" s="76">
        <v>0</v>
      </c>
      <c r="H674" s="76"/>
      <c r="I674" s="76">
        <v>18060</v>
      </c>
      <c r="J674" s="76"/>
      <c r="K674" s="76">
        <v>0</v>
      </c>
      <c r="L674" s="76"/>
      <c r="M674" s="76">
        <v>0</v>
      </c>
      <c r="N674" s="76"/>
      <c r="O674" s="76">
        <v>23094</v>
      </c>
      <c r="P674" s="76"/>
      <c r="Q674" s="76">
        <v>43</v>
      </c>
      <c r="R674" s="76"/>
      <c r="S674" s="76">
        <v>860</v>
      </c>
      <c r="T674" s="76"/>
      <c r="U674" s="76">
        <v>0</v>
      </c>
      <c r="V674" s="76"/>
      <c r="W674" s="76">
        <v>0</v>
      </c>
      <c r="X674" s="76"/>
      <c r="Y674" s="76">
        <v>0</v>
      </c>
      <c r="Z674" s="76"/>
      <c r="AA674" s="76">
        <v>0</v>
      </c>
      <c r="AB674" s="76"/>
      <c r="AC674" s="76">
        <v>0</v>
      </c>
      <c r="AD674" s="76"/>
      <c r="AE674" s="76">
        <v>0</v>
      </c>
      <c r="AF674" s="76"/>
      <c r="AG674" s="76">
        <v>0</v>
      </c>
      <c r="AH674" s="76"/>
      <c r="AI674" s="76">
        <f t="shared" si="10"/>
        <v>62751</v>
      </c>
      <c r="AJ674" s="10"/>
      <c r="AK674" s="7"/>
      <c r="AL674" s="7"/>
      <c r="AM674" s="7"/>
    </row>
    <row r="675" spans="1:39" s="21" customFormat="1" ht="12" hidden="1" customHeight="1" x14ac:dyDescent="0.2">
      <c r="A675" s="1" t="s">
        <v>339</v>
      </c>
      <c r="B675" s="1"/>
      <c r="C675" s="1" t="s">
        <v>329</v>
      </c>
      <c r="D675" s="1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>
        <f t="shared" si="10"/>
        <v>0</v>
      </c>
      <c r="AJ675" s="10"/>
      <c r="AK675" s="7"/>
      <c r="AL675" s="7"/>
      <c r="AM675" s="7"/>
    </row>
    <row r="676" spans="1:39" s="21" customFormat="1" ht="12" customHeight="1" x14ac:dyDescent="0.2">
      <c r="A676" s="36" t="s">
        <v>547</v>
      </c>
      <c r="B676" s="36"/>
      <c r="C676" s="36" t="s">
        <v>540</v>
      </c>
      <c r="D676" s="36"/>
      <c r="E676" s="76">
        <v>43203</v>
      </c>
      <c r="F676" s="76"/>
      <c r="G676" s="76">
        <v>0</v>
      </c>
      <c r="H676" s="76"/>
      <c r="I676" s="76">
        <v>24653</v>
      </c>
      <c r="J676" s="76"/>
      <c r="K676" s="76">
        <v>0</v>
      </c>
      <c r="L676" s="76"/>
      <c r="M676" s="76">
        <v>0</v>
      </c>
      <c r="N676" s="76"/>
      <c r="O676" s="76">
        <v>18474</v>
      </c>
      <c r="P676" s="76"/>
      <c r="Q676" s="76">
        <v>589</v>
      </c>
      <c r="R676" s="76"/>
      <c r="S676" s="76">
        <v>10789</v>
      </c>
      <c r="T676" s="76"/>
      <c r="U676" s="76">
        <v>0</v>
      </c>
      <c r="V676" s="76"/>
      <c r="W676" s="76">
        <v>0</v>
      </c>
      <c r="X676" s="76"/>
      <c r="Y676" s="76">
        <v>0</v>
      </c>
      <c r="Z676" s="76"/>
      <c r="AA676" s="76">
        <v>0</v>
      </c>
      <c r="AB676" s="76"/>
      <c r="AC676" s="76">
        <v>0</v>
      </c>
      <c r="AD676" s="76"/>
      <c r="AE676" s="76">
        <v>0</v>
      </c>
      <c r="AF676" s="76"/>
      <c r="AG676" s="76">
        <v>0</v>
      </c>
      <c r="AH676" s="76"/>
      <c r="AI676" s="76">
        <f t="shared" si="10"/>
        <v>97708</v>
      </c>
      <c r="AJ676" s="36"/>
      <c r="AK676" s="36"/>
      <c r="AL676" s="36"/>
      <c r="AM676" s="36"/>
    </row>
    <row r="677" spans="1:39" s="21" customFormat="1" ht="12" customHeight="1" x14ac:dyDescent="0.2">
      <c r="A677" s="1" t="s">
        <v>14</v>
      </c>
      <c r="B677" s="1"/>
      <c r="C677" s="1" t="s">
        <v>740</v>
      </c>
      <c r="D677" s="1"/>
      <c r="E677" s="76">
        <v>46739.37</v>
      </c>
      <c r="F677" s="76"/>
      <c r="G677" s="76">
        <v>129315.23</v>
      </c>
      <c r="H677" s="76"/>
      <c r="I677" s="76">
        <v>49533.16</v>
      </c>
      <c r="J677" s="76"/>
      <c r="K677" s="76">
        <v>90.76</v>
      </c>
      <c r="L677" s="76"/>
      <c r="M677" s="76">
        <v>3342.25</v>
      </c>
      <c r="N677" s="76"/>
      <c r="O677" s="76">
        <v>12898.67</v>
      </c>
      <c r="P677" s="76"/>
      <c r="Q677" s="76">
        <v>551.54</v>
      </c>
      <c r="R677" s="76"/>
      <c r="S677" s="76">
        <v>15544.84</v>
      </c>
      <c r="T677" s="76"/>
      <c r="U677" s="76">
        <v>0</v>
      </c>
      <c r="V677" s="76"/>
      <c r="W677" s="76">
        <v>0</v>
      </c>
      <c r="X677" s="76"/>
      <c r="Y677" s="76">
        <v>0</v>
      </c>
      <c r="Z677" s="76"/>
      <c r="AA677" s="76">
        <v>0</v>
      </c>
      <c r="AB677" s="76"/>
      <c r="AC677" s="76">
        <v>0</v>
      </c>
      <c r="AD677" s="76"/>
      <c r="AE677" s="76">
        <v>0</v>
      </c>
      <c r="AF677" s="76"/>
      <c r="AG677" s="76">
        <v>0</v>
      </c>
      <c r="AH677"/>
      <c r="AI677" s="76">
        <f t="shared" si="10"/>
        <v>258015.82000000004</v>
      </c>
      <c r="AJ677" s="10"/>
      <c r="AK677" s="22"/>
      <c r="AL677" s="22"/>
      <c r="AM677" s="22"/>
    </row>
    <row r="678" spans="1:39" s="15" customFormat="1" ht="12" customHeight="1" x14ac:dyDescent="0.2">
      <c r="A678" s="1"/>
      <c r="B678" s="1"/>
      <c r="C678" s="1"/>
      <c r="D678" s="1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10"/>
      <c r="AK678" s="21"/>
      <c r="AL678" s="21"/>
      <c r="AM678" s="21"/>
    </row>
    <row r="679" spans="1:39" s="15" customFormat="1" ht="12" customHeight="1" x14ac:dyDescent="0.2">
      <c r="A679" s="1"/>
      <c r="B679" s="1"/>
      <c r="C679" s="1"/>
      <c r="D679" s="1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 t="s">
        <v>850</v>
      </c>
      <c r="AJ679" s="10"/>
      <c r="AK679" s="21"/>
      <c r="AL679" s="21"/>
      <c r="AM679" s="21"/>
    </row>
    <row r="680" spans="1:39" s="15" customFormat="1" ht="12" customHeight="1" x14ac:dyDescent="0.2">
      <c r="A680" s="1"/>
      <c r="B680" s="1"/>
      <c r="C680" s="1"/>
      <c r="D680" s="1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10"/>
      <c r="AK680" s="21"/>
      <c r="AL680" s="21"/>
      <c r="AM680" s="21"/>
    </row>
    <row r="681" spans="1:39" ht="12" customHeight="1" x14ac:dyDescent="0.2">
      <c r="A681" s="1" t="s">
        <v>583</v>
      </c>
      <c r="C681" s="1" t="s">
        <v>581</v>
      </c>
      <c r="E681" s="88">
        <v>96464</v>
      </c>
      <c r="F681" s="88"/>
      <c r="G681" s="88">
        <v>384947</v>
      </c>
      <c r="H681" s="88"/>
      <c r="I681" s="88">
        <v>144689</v>
      </c>
      <c r="J681" s="88"/>
      <c r="K681" s="88">
        <v>0</v>
      </c>
      <c r="L681" s="88"/>
      <c r="M681" s="88">
        <v>2584</v>
      </c>
      <c r="N681" s="88"/>
      <c r="O681" s="88">
        <f>56186+38522</f>
        <v>94708</v>
      </c>
      <c r="P681" s="88"/>
      <c r="Q681" s="88">
        <v>2295</v>
      </c>
      <c r="R681" s="88"/>
      <c r="S681" s="88">
        <v>38166</v>
      </c>
      <c r="T681" s="88"/>
      <c r="U681" s="88">
        <v>0</v>
      </c>
      <c r="V681" s="88"/>
      <c r="W681" s="88">
        <v>0</v>
      </c>
      <c r="X681" s="88"/>
      <c r="Y681" s="88">
        <v>0</v>
      </c>
      <c r="Z681" s="88"/>
      <c r="AA681" s="88">
        <v>0</v>
      </c>
      <c r="AB681" s="88"/>
      <c r="AC681" s="88">
        <v>0</v>
      </c>
      <c r="AD681" s="88"/>
      <c r="AE681" s="88">
        <v>0</v>
      </c>
      <c r="AF681" s="88"/>
      <c r="AG681" s="88">
        <v>0</v>
      </c>
      <c r="AH681" s="88"/>
      <c r="AI681" s="88">
        <f t="shared" si="10"/>
        <v>763853</v>
      </c>
      <c r="AJ681" s="10"/>
    </row>
    <row r="682" spans="1:39" ht="12" customHeight="1" x14ac:dyDescent="0.2">
      <c r="A682" s="1" t="s">
        <v>453</v>
      </c>
      <c r="C682" s="1" t="s">
        <v>451</v>
      </c>
      <c r="E682" s="76">
        <v>600051</v>
      </c>
      <c r="F682" s="76"/>
      <c r="G682" s="76">
        <v>1158654</v>
      </c>
      <c r="H682" s="76"/>
      <c r="I682" s="76">
        <v>177616</v>
      </c>
      <c r="J682" s="76"/>
      <c r="K682" s="76">
        <v>0</v>
      </c>
      <c r="L682" s="76"/>
      <c r="M682" s="76">
        <v>77362</v>
      </c>
      <c r="N682" s="76"/>
      <c r="O682" s="76">
        <v>42540</v>
      </c>
      <c r="P682" s="76"/>
      <c r="Q682" s="76">
        <v>74949</v>
      </c>
      <c r="R682" s="76"/>
      <c r="S682" s="76">
        <f>970+88905</f>
        <v>89875</v>
      </c>
      <c r="T682" s="76"/>
      <c r="U682" s="76">
        <v>0</v>
      </c>
      <c r="V682" s="76"/>
      <c r="W682" s="76">
        <v>0</v>
      </c>
      <c r="X682" s="76"/>
      <c r="Y682" s="76">
        <v>36556</v>
      </c>
      <c r="Z682" s="76"/>
      <c r="AA682" s="76">
        <v>0</v>
      </c>
      <c r="AB682" s="76"/>
      <c r="AC682" s="76">
        <v>0</v>
      </c>
      <c r="AD682" s="76"/>
      <c r="AE682" s="76">
        <v>0</v>
      </c>
      <c r="AF682" s="76"/>
      <c r="AG682" s="76">
        <v>0</v>
      </c>
      <c r="AH682" s="76"/>
      <c r="AI682" s="76">
        <f t="shared" si="10"/>
        <v>2257603</v>
      </c>
      <c r="AJ682" s="10"/>
      <c r="AK682" s="21"/>
      <c r="AL682" s="21"/>
      <c r="AM682" s="21"/>
    </row>
    <row r="683" spans="1:39" s="21" customFormat="1" ht="12" customHeight="1" x14ac:dyDescent="0.2">
      <c r="A683" s="1" t="s">
        <v>306</v>
      </c>
      <c r="B683" s="1"/>
      <c r="C683" s="1" t="s">
        <v>305</v>
      </c>
      <c r="D683" s="1"/>
      <c r="E683" s="76">
        <v>81084.14</v>
      </c>
      <c r="F683" s="76"/>
      <c r="G683" s="76">
        <v>350726.01</v>
      </c>
      <c r="H683" s="76"/>
      <c r="I683" s="76">
        <v>71033.95</v>
      </c>
      <c r="J683" s="76"/>
      <c r="K683" s="76">
        <v>0</v>
      </c>
      <c r="L683" s="76"/>
      <c r="M683" s="76">
        <v>534</v>
      </c>
      <c r="N683" s="76"/>
      <c r="O683" s="76">
        <v>95942.7</v>
      </c>
      <c r="P683" s="76"/>
      <c r="Q683" s="76">
        <v>879.83</v>
      </c>
      <c r="R683" s="76"/>
      <c r="S683" s="76">
        <v>1464729.01</v>
      </c>
      <c r="T683" s="76"/>
      <c r="U683" s="76">
        <v>0</v>
      </c>
      <c r="V683" s="76"/>
      <c r="W683" s="76">
        <v>0</v>
      </c>
      <c r="X683" s="76"/>
      <c r="Y683" s="76">
        <v>0</v>
      </c>
      <c r="Z683" s="76"/>
      <c r="AA683" s="76">
        <v>0</v>
      </c>
      <c r="AB683" s="76"/>
      <c r="AC683" s="76">
        <v>0</v>
      </c>
      <c r="AD683" s="76"/>
      <c r="AE683" s="76">
        <v>0</v>
      </c>
      <c r="AF683" s="76"/>
      <c r="AG683" s="76">
        <v>0</v>
      </c>
      <c r="AH683"/>
      <c r="AI683" s="76">
        <f t="shared" si="10"/>
        <v>2064929.6400000001</v>
      </c>
      <c r="AJ683" s="10"/>
      <c r="AK683" s="22"/>
      <c r="AL683" s="22"/>
      <c r="AM683" s="22"/>
    </row>
    <row r="684" spans="1:39" s="19" customFormat="1" ht="12" customHeight="1" x14ac:dyDescent="0.2">
      <c r="A684" s="1" t="s">
        <v>512</v>
      </c>
      <c r="B684" s="1"/>
      <c r="C684" s="1" t="s">
        <v>509</v>
      </c>
      <c r="D684" s="1"/>
      <c r="E684" s="76">
        <v>107836</v>
      </c>
      <c r="F684" s="76"/>
      <c r="G684" s="76">
        <v>284805</v>
      </c>
      <c r="H684" s="76"/>
      <c r="I684" s="76">
        <v>73943</v>
      </c>
      <c r="J684" s="76"/>
      <c r="K684" s="76">
        <v>0</v>
      </c>
      <c r="L684" s="76"/>
      <c r="M684" s="76">
        <v>0</v>
      </c>
      <c r="N684" s="76"/>
      <c r="O684" s="76">
        <v>3783</v>
      </c>
      <c r="P684" s="76"/>
      <c r="Q684" s="76">
        <v>3010</v>
      </c>
      <c r="R684" s="76"/>
      <c r="S684" s="76">
        <v>18083</v>
      </c>
      <c r="T684" s="76"/>
      <c r="U684" s="76">
        <v>0</v>
      </c>
      <c r="V684" s="76"/>
      <c r="W684" s="76">
        <v>0</v>
      </c>
      <c r="X684" s="76"/>
      <c r="Y684" s="76">
        <v>0</v>
      </c>
      <c r="Z684" s="76"/>
      <c r="AA684" s="76">
        <v>0</v>
      </c>
      <c r="AB684" s="76"/>
      <c r="AC684" s="76">
        <v>0</v>
      </c>
      <c r="AD684" s="76"/>
      <c r="AE684" s="76">
        <v>120000</v>
      </c>
      <c r="AF684" s="76"/>
      <c r="AG684" s="76">
        <v>0</v>
      </c>
      <c r="AH684" s="76"/>
      <c r="AI684" s="76">
        <f t="shared" si="10"/>
        <v>611460</v>
      </c>
      <c r="AJ684" s="10"/>
      <c r="AK684" s="1"/>
      <c r="AL684" s="1"/>
      <c r="AM684" s="1"/>
    </row>
    <row r="685" spans="1:39" ht="12" customHeight="1" x14ac:dyDescent="0.2">
      <c r="A685" s="1" t="s">
        <v>937</v>
      </c>
      <c r="C685" s="1" t="s">
        <v>509</v>
      </c>
      <c r="E685" s="76">
        <v>3030.03</v>
      </c>
      <c r="F685" s="76"/>
      <c r="G685" s="76">
        <v>19724.18</v>
      </c>
      <c r="H685" s="76"/>
      <c r="I685" s="76">
        <v>16372.84</v>
      </c>
      <c r="J685" s="76"/>
      <c r="K685" s="76">
        <v>0</v>
      </c>
      <c r="L685" s="76"/>
      <c r="M685" s="76">
        <v>800</v>
      </c>
      <c r="N685" s="76"/>
      <c r="O685" s="76">
        <v>75</v>
      </c>
      <c r="P685" s="76"/>
      <c r="Q685" s="76">
        <v>34.42</v>
      </c>
      <c r="R685" s="76"/>
      <c r="S685" s="76">
        <v>6538.39</v>
      </c>
      <c r="T685" s="76"/>
      <c r="U685" s="76">
        <v>0</v>
      </c>
      <c r="V685" s="76"/>
      <c r="W685" s="76">
        <v>0</v>
      </c>
      <c r="X685" s="76"/>
      <c r="Y685" s="76">
        <v>0</v>
      </c>
      <c r="Z685" s="76"/>
      <c r="AA685" s="76">
        <v>0</v>
      </c>
      <c r="AB685" s="76"/>
      <c r="AC685" s="76">
        <v>0</v>
      </c>
      <c r="AD685" s="76"/>
      <c r="AE685" s="76">
        <v>0</v>
      </c>
      <c r="AF685" s="76"/>
      <c r="AG685" s="76">
        <v>0</v>
      </c>
      <c r="AH685"/>
      <c r="AI685" s="76">
        <f t="shared" si="10"/>
        <v>46574.86</v>
      </c>
      <c r="AJ685" s="10"/>
    </row>
    <row r="686" spans="1:39" ht="12" customHeight="1" x14ac:dyDescent="0.2">
      <c r="A686" s="1" t="s">
        <v>230</v>
      </c>
      <c r="C686" s="1" t="s">
        <v>805</v>
      </c>
      <c r="E686" s="76">
        <v>30481.3</v>
      </c>
      <c r="F686" s="76"/>
      <c r="G686" s="76">
        <v>0</v>
      </c>
      <c r="H686" s="76"/>
      <c r="I686" s="76">
        <v>11611.13</v>
      </c>
      <c r="J686" s="76"/>
      <c r="K686" s="76">
        <v>0</v>
      </c>
      <c r="L686" s="76"/>
      <c r="M686" s="76">
        <v>0</v>
      </c>
      <c r="N686" s="76"/>
      <c r="O686" s="76">
        <v>35016.89</v>
      </c>
      <c r="P686" s="76"/>
      <c r="Q686" s="76">
        <v>34.159999999999997</v>
      </c>
      <c r="R686" s="76"/>
      <c r="S686" s="76">
        <v>733.3</v>
      </c>
      <c r="T686" s="76"/>
      <c r="U686" s="76">
        <v>0</v>
      </c>
      <c r="V686" s="76"/>
      <c r="W686" s="76">
        <v>0</v>
      </c>
      <c r="X686" s="76"/>
      <c r="Y686" s="76">
        <v>0</v>
      </c>
      <c r="Z686" s="76"/>
      <c r="AA686" s="76">
        <v>0</v>
      </c>
      <c r="AB686" s="76"/>
      <c r="AC686" s="76">
        <v>0</v>
      </c>
      <c r="AD686" s="76"/>
      <c r="AE686" s="76">
        <v>0</v>
      </c>
      <c r="AF686" s="76"/>
      <c r="AG686" s="76">
        <v>0</v>
      </c>
      <c r="AH686" s="81"/>
      <c r="AI686" s="76">
        <f t="shared" si="10"/>
        <v>77876.780000000013</v>
      </c>
      <c r="AJ686" s="10"/>
    </row>
    <row r="687" spans="1:39" s="21" customFormat="1" ht="12" customHeight="1" x14ac:dyDescent="0.2">
      <c r="A687" s="1" t="s">
        <v>938</v>
      </c>
      <c r="B687" s="1"/>
      <c r="C687" s="1" t="s">
        <v>432</v>
      </c>
      <c r="D687" s="1"/>
      <c r="E687" s="76">
        <v>67307.7</v>
      </c>
      <c r="F687" s="76"/>
      <c r="G687" s="76">
        <v>1943585.62</v>
      </c>
      <c r="H687" s="76"/>
      <c r="I687" s="76">
        <v>205712.49</v>
      </c>
      <c r="J687" s="76"/>
      <c r="K687" s="76">
        <v>98399.53</v>
      </c>
      <c r="L687" s="76"/>
      <c r="M687" s="76">
        <v>60663.62</v>
      </c>
      <c r="N687" s="76"/>
      <c r="O687" s="76">
        <v>74399.95</v>
      </c>
      <c r="P687" s="76"/>
      <c r="Q687" s="76">
        <v>0</v>
      </c>
      <c r="R687" s="76"/>
      <c r="S687" s="76">
        <v>101417.47</v>
      </c>
      <c r="T687" s="76"/>
      <c r="U687" s="76">
        <v>0</v>
      </c>
      <c r="V687" s="76"/>
      <c r="W687" s="76">
        <v>0</v>
      </c>
      <c r="X687" s="76"/>
      <c r="Y687" s="76">
        <v>12097.8</v>
      </c>
      <c r="Z687" s="76"/>
      <c r="AA687" s="76">
        <v>0</v>
      </c>
      <c r="AB687" s="76"/>
      <c r="AC687" s="76">
        <v>0</v>
      </c>
      <c r="AD687" s="76"/>
      <c r="AE687" s="76">
        <v>0</v>
      </c>
      <c r="AF687" s="76"/>
      <c r="AG687" s="76">
        <v>0</v>
      </c>
      <c r="AH687"/>
      <c r="AI687" s="76">
        <f t="shared" si="10"/>
        <v>2563584.1800000002</v>
      </c>
      <c r="AJ687" s="10"/>
      <c r="AK687" s="1"/>
      <c r="AL687" s="1"/>
      <c r="AM687" s="1"/>
    </row>
    <row r="688" spans="1:39" ht="12" customHeight="1" x14ac:dyDescent="0.2">
      <c r="A688" s="1" t="s">
        <v>310</v>
      </c>
      <c r="C688" s="1" t="s">
        <v>308</v>
      </c>
      <c r="E688" s="76">
        <v>106779</v>
      </c>
      <c r="F688" s="76"/>
      <c r="G688" s="76">
        <v>257106</v>
      </c>
      <c r="H688" s="76"/>
      <c r="I688" s="76">
        <v>54690</v>
      </c>
      <c r="J688" s="76"/>
      <c r="K688" s="76">
        <v>0</v>
      </c>
      <c r="L688" s="76"/>
      <c r="M688" s="76">
        <v>73</v>
      </c>
      <c r="N688" s="76"/>
      <c r="O688" s="76">
        <v>5145</v>
      </c>
      <c r="P688" s="76"/>
      <c r="Q688" s="76">
        <v>2074</v>
      </c>
      <c r="R688" s="76"/>
      <c r="S688" s="76">
        <v>7752</v>
      </c>
      <c r="T688" s="76"/>
      <c r="U688" s="76">
        <v>0</v>
      </c>
      <c r="V688" s="76"/>
      <c r="W688" s="76">
        <v>0</v>
      </c>
      <c r="X688" s="76"/>
      <c r="Y688" s="76">
        <v>2600</v>
      </c>
      <c r="Z688" s="76"/>
      <c r="AA688" s="76">
        <v>30000</v>
      </c>
      <c r="AB688" s="76"/>
      <c r="AC688" s="76">
        <v>0</v>
      </c>
      <c r="AD688" s="76"/>
      <c r="AE688" s="76">
        <v>9751</v>
      </c>
      <c r="AF688" s="76"/>
      <c r="AG688" s="76">
        <v>0</v>
      </c>
      <c r="AH688" s="76"/>
      <c r="AI688" s="76">
        <f t="shared" si="10"/>
        <v>475970</v>
      </c>
      <c r="AJ688" s="10"/>
      <c r="AK688" s="22"/>
      <c r="AL688" s="22"/>
      <c r="AM688" s="22"/>
    </row>
    <row r="689" spans="1:39" s="21" customFormat="1" ht="12" customHeight="1" x14ac:dyDescent="0.2">
      <c r="A689" s="15" t="s">
        <v>899</v>
      </c>
      <c r="B689" s="15"/>
      <c r="C689" s="15" t="s">
        <v>513</v>
      </c>
      <c r="D689" s="15"/>
      <c r="E689" s="76">
        <v>2068.58</v>
      </c>
      <c r="F689" s="76"/>
      <c r="G689" s="76">
        <v>0</v>
      </c>
      <c r="H689" s="76"/>
      <c r="I689" s="76">
        <v>27359.360000000001</v>
      </c>
      <c r="J689" s="76"/>
      <c r="K689" s="76">
        <v>0</v>
      </c>
      <c r="L689" s="76"/>
      <c r="M689" s="76">
        <v>0</v>
      </c>
      <c r="N689" s="76"/>
      <c r="O689" s="76">
        <v>0</v>
      </c>
      <c r="P689" s="76"/>
      <c r="Q689" s="76">
        <v>31.48</v>
      </c>
      <c r="R689" s="76"/>
      <c r="S689" s="76">
        <v>28755.45</v>
      </c>
      <c r="T689" s="76"/>
      <c r="U689" s="76">
        <v>0</v>
      </c>
      <c r="V689" s="76"/>
      <c r="W689" s="76">
        <v>0</v>
      </c>
      <c r="X689" s="76"/>
      <c r="Y689" s="76">
        <v>0</v>
      </c>
      <c r="Z689" s="76"/>
      <c r="AA689" s="76">
        <v>0</v>
      </c>
      <c r="AB689" s="76"/>
      <c r="AC689" s="76">
        <v>0</v>
      </c>
      <c r="AD689" s="76"/>
      <c r="AE689" s="76">
        <v>0</v>
      </c>
      <c r="AF689" s="76"/>
      <c r="AG689" s="76">
        <v>0</v>
      </c>
      <c r="AH689" s="81"/>
      <c r="AI689" s="76">
        <f t="shared" si="10"/>
        <v>58214.87</v>
      </c>
      <c r="AJ689" s="24"/>
      <c r="AK689" s="15"/>
      <c r="AL689" s="15"/>
      <c r="AM689" s="15"/>
    </row>
    <row r="690" spans="1:39" ht="12" customHeight="1" x14ac:dyDescent="0.2">
      <c r="A690" s="1" t="s">
        <v>135</v>
      </c>
      <c r="C690" s="1" t="s">
        <v>775</v>
      </c>
      <c r="E690" s="76">
        <v>245236.36</v>
      </c>
      <c r="F690" s="76"/>
      <c r="G690" s="76">
        <v>0</v>
      </c>
      <c r="H690" s="76"/>
      <c r="I690" s="76">
        <v>62102.21</v>
      </c>
      <c r="J690" s="76"/>
      <c r="K690" s="76">
        <v>0</v>
      </c>
      <c r="L690" s="76"/>
      <c r="M690" s="76">
        <v>98842.31</v>
      </c>
      <c r="N690" s="76"/>
      <c r="O690" s="76">
        <v>3440</v>
      </c>
      <c r="P690" s="76"/>
      <c r="Q690" s="76">
        <v>4670.74</v>
      </c>
      <c r="R690" s="76"/>
      <c r="S690" s="76">
        <v>27211.62</v>
      </c>
      <c r="T690" s="76"/>
      <c r="U690" s="76">
        <v>0</v>
      </c>
      <c r="V690" s="76"/>
      <c r="W690" s="76">
        <v>0</v>
      </c>
      <c r="X690" s="76"/>
      <c r="Y690" s="76">
        <v>0</v>
      </c>
      <c r="Z690" s="76"/>
      <c r="AA690" s="76">
        <v>0</v>
      </c>
      <c r="AB690" s="76"/>
      <c r="AC690" s="76">
        <v>3070.34</v>
      </c>
      <c r="AD690" s="76"/>
      <c r="AE690" s="76">
        <v>0</v>
      </c>
      <c r="AF690" s="76"/>
      <c r="AG690" s="76">
        <v>0</v>
      </c>
      <c r="AH690"/>
      <c r="AI690" s="76">
        <f t="shared" si="10"/>
        <v>444573.58</v>
      </c>
      <c r="AJ690" s="10"/>
      <c r="AK690" s="21"/>
      <c r="AL690" s="21"/>
      <c r="AM690" s="21"/>
    </row>
    <row r="691" spans="1:39" s="21" customFormat="1" ht="12" customHeight="1" x14ac:dyDescent="0.2">
      <c r="A691" s="1" t="s">
        <v>900</v>
      </c>
      <c r="B691" s="1"/>
      <c r="C691" s="1" t="s">
        <v>509</v>
      </c>
      <c r="D691" s="1"/>
      <c r="E691" s="76">
        <v>36581</v>
      </c>
      <c r="F691" s="76"/>
      <c r="G691" s="76">
        <v>0</v>
      </c>
      <c r="H691" s="76"/>
      <c r="I691" s="76">
        <v>0</v>
      </c>
      <c r="J691" s="76"/>
      <c r="K691" s="76">
        <v>0</v>
      </c>
      <c r="L691" s="76"/>
      <c r="M691" s="76">
        <v>32697</v>
      </c>
      <c r="N691" s="76"/>
      <c r="O691" s="76">
        <f>146+2242</f>
        <v>2388</v>
      </c>
      <c r="P691" s="76"/>
      <c r="Q691" s="76">
        <v>1786</v>
      </c>
      <c r="R691" s="76"/>
      <c r="S691" s="76">
        <v>65</v>
      </c>
      <c r="T691" s="76"/>
      <c r="U691" s="76">
        <v>0</v>
      </c>
      <c r="V691" s="76"/>
      <c r="W691" s="76">
        <v>0</v>
      </c>
      <c r="X691" s="76"/>
      <c r="Y691" s="76">
        <v>0</v>
      </c>
      <c r="Z691" s="76"/>
      <c r="AA691" s="76">
        <v>0</v>
      </c>
      <c r="AB691" s="76"/>
      <c r="AC691" s="76">
        <v>0</v>
      </c>
      <c r="AD691" s="76"/>
      <c r="AE691" s="76">
        <v>0</v>
      </c>
      <c r="AF691" s="76"/>
      <c r="AG691" s="76">
        <v>0</v>
      </c>
      <c r="AH691" s="76"/>
      <c r="AI691" s="76">
        <f t="shared" si="10"/>
        <v>73517</v>
      </c>
      <c r="AJ691" s="10"/>
      <c r="AK691" s="1"/>
      <c r="AL691" s="1"/>
      <c r="AM691" s="1"/>
    </row>
    <row r="692" spans="1:39" s="21" customFormat="1" ht="12" customHeight="1" x14ac:dyDescent="0.2">
      <c r="A692" s="1" t="s">
        <v>939</v>
      </c>
      <c r="B692" s="1"/>
      <c r="C692" s="1" t="s">
        <v>446</v>
      </c>
      <c r="D692" s="1"/>
      <c r="E692" s="76">
        <v>76238.52</v>
      </c>
      <c r="F692" s="76"/>
      <c r="G692" s="76">
        <v>0</v>
      </c>
      <c r="H692" s="76"/>
      <c r="I692" s="76">
        <v>46100.43</v>
      </c>
      <c r="J692" s="76"/>
      <c r="K692" s="76">
        <v>0</v>
      </c>
      <c r="L692" s="76"/>
      <c r="M692" s="76">
        <v>0</v>
      </c>
      <c r="N692" s="76"/>
      <c r="O692" s="76">
        <v>4732.37</v>
      </c>
      <c r="P692" s="76"/>
      <c r="Q692" s="76">
        <v>1456.73</v>
      </c>
      <c r="R692" s="76"/>
      <c r="S692" s="76">
        <v>807.75</v>
      </c>
      <c r="T692" s="76"/>
      <c r="U692" s="76">
        <v>0</v>
      </c>
      <c r="V692" s="76"/>
      <c r="W692" s="76">
        <v>0</v>
      </c>
      <c r="X692" s="76"/>
      <c r="Y692" s="76">
        <v>0</v>
      </c>
      <c r="Z692" s="76"/>
      <c r="AA692" s="76">
        <v>0</v>
      </c>
      <c r="AB692" s="76"/>
      <c r="AC692" s="76">
        <v>0</v>
      </c>
      <c r="AD692" s="76"/>
      <c r="AE692" s="76">
        <v>0</v>
      </c>
      <c r="AF692" s="76"/>
      <c r="AG692" s="76">
        <v>0</v>
      </c>
      <c r="AH692"/>
      <c r="AI692" s="76">
        <f t="shared" si="10"/>
        <v>129335.8</v>
      </c>
      <c r="AJ692" s="10"/>
      <c r="AK692" s="1"/>
      <c r="AL692" s="1"/>
      <c r="AM692" s="1"/>
    </row>
    <row r="693" spans="1:39" s="21" customFormat="1" ht="12" customHeight="1" x14ac:dyDescent="0.2">
      <c r="A693" s="1" t="s">
        <v>262</v>
      </c>
      <c r="B693" s="1"/>
      <c r="C693" s="1" t="s">
        <v>813</v>
      </c>
      <c r="D693" s="1"/>
      <c r="E693" s="76">
        <v>10196.6</v>
      </c>
      <c r="F693" s="76"/>
      <c r="G693" s="76">
        <v>0</v>
      </c>
      <c r="H693" s="76"/>
      <c r="I693" s="76">
        <v>7928.15</v>
      </c>
      <c r="J693" s="76"/>
      <c r="K693" s="76">
        <v>505</v>
      </c>
      <c r="L693" s="76"/>
      <c r="M693" s="76">
        <v>530</v>
      </c>
      <c r="N693" s="76"/>
      <c r="O693" s="76">
        <v>14581.36</v>
      </c>
      <c r="P693" s="76"/>
      <c r="Q693" s="76">
        <v>52.22</v>
      </c>
      <c r="R693" s="76"/>
      <c r="S693" s="76">
        <v>1191</v>
      </c>
      <c r="T693" s="76"/>
      <c r="U693" s="76">
        <v>0</v>
      </c>
      <c r="V693" s="76"/>
      <c r="W693" s="76">
        <v>0</v>
      </c>
      <c r="X693" s="76"/>
      <c r="Y693" s="76">
        <v>0</v>
      </c>
      <c r="Z693" s="76"/>
      <c r="AA693" s="76">
        <v>0</v>
      </c>
      <c r="AB693" s="76"/>
      <c r="AC693" s="76">
        <v>0</v>
      </c>
      <c r="AD693" s="76"/>
      <c r="AE693" s="76">
        <v>0</v>
      </c>
      <c r="AF693" s="76"/>
      <c r="AG693" s="76">
        <v>0</v>
      </c>
      <c r="AH693"/>
      <c r="AI693" s="76">
        <f t="shared" si="10"/>
        <v>34984.33</v>
      </c>
      <c r="AJ693" s="10"/>
      <c r="AK693" s="1"/>
      <c r="AL693" s="1"/>
      <c r="AM693" s="1"/>
    </row>
    <row r="694" spans="1:39" ht="12" customHeight="1" x14ac:dyDescent="0.2">
      <c r="A694" s="1" t="s">
        <v>472</v>
      </c>
      <c r="C694" s="1" t="s">
        <v>470</v>
      </c>
      <c r="E694" s="76">
        <v>193062</v>
      </c>
      <c r="F694" s="76"/>
      <c r="G694" s="76">
        <v>851753</v>
      </c>
      <c r="H694" s="76"/>
      <c r="I694" s="76">
        <v>183114</v>
      </c>
      <c r="J694" s="76"/>
      <c r="K694" s="76">
        <v>0</v>
      </c>
      <c r="L694" s="76"/>
      <c r="M694" s="76">
        <v>250</v>
      </c>
      <c r="N694" s="76"/>
      <c r="O694" s="76">
        <v>77221</v>
      </c>
      <c r="P694" s="76"/>
      <c r="Q694" s="76">
        <v>5053</v>
      </c>
      <c r="R694" s="76"/>
      <c r="S694" s="76">
        <v>5406</v>
      </c>
      <c r="T694" s="76"/>
      <c r="U694" s="76">
        <v>0</v>
      </c>
      <c r="V694" s="76"/>
      <c r="W694" s="76">
        <v>0</v>
      </c>
      <c r="X694" s="76"/>
      <c r="Y694" s="76">
        <v>0</v>
      </c>
      <c r="Z694" s="76"/>
      <c r="AA694" s="76">
        <v>0</v>
      </c>
      <c r="AB694" s="76"/>
      <c r="AC694" s="76">
        <v>0</v>
      </c>
      <c r="AD694" s="76"/>
      <c r="AE694" s="76">
        <v>0</v>
      </c>
      <c r="AF694" s="76"/>
      <c r="AG694" s="76">
        <v>0</v>
      </c>
      <c r="AH694" s="76"/>
      <c r="AI694" s="76">
        <f t="shared" si="10"/>
        <v>1315859</v>
      </c>
      <c r="AJ694" s="10"/>
      <c r="AK694" s="21"/>
      <c r="AL694" s="21"/>
      <c r="AM694" s="21"/>
    </row>
    <row r="695" spans="1:39" ht="12" hidden="1" customHeight="1" x14ac:dyDescent="0.2">
      <c r="A695" s="1" t="s">
        <v>351</v>
      </c>
      <c r="C695" s="1" t="s">
        <v>350</v>
      </c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>
        <f t="shared" si="10"/>
        <v>0</v>
      </c>
      <c r="AJ695" s="10"/>
      <c r="AK695" s="21"/>
      <c r="AL695" s="21"/>
      <c r="AM695" s="21"/>
    </row>
    <row r="696" spans="1:39" ht="12" customHeight="1" x14ac:dyDescent="0.2">
      <c r="A696" s="1" t="s">
        <v>250</v>
      </c>
      <c r="C696" s="1" t="s">
        <v>811</v>
      </c>
      <c r="E696" s="76">
        <v>38618.15</v>
      </c>
      <c r="F696" s="76"/>
      <c r="G696" s="76">
        <v>170324.79</v>
      </c>
      <c r="H696" s="76"/>
      <c r="I696" s="76">
        <v>40245.96</v>
      </c>
      <c r="J696" s="76"/>
      <c r="K696" s="76">
        <v>0</v>
      </c>
      <c r="L696" s="76"/>
      <c r="M696" s="76">
        <v>43325</v>
      </c>
      <c r="N696" s="76"/>
      <c r="O696" s="76">
        <v>11636.6</v>
      </c>
      <c r="P696" s="76"/>
      <c r="Q696" s="76">
        <v>1062.5899999999999</v>
      </c>
      <c r="R696" s="76"/>
      <c r="S696" s="76">
        <v>6781.54</v>
      </c>
      <c r="T696" s="76"/>
      <c r="U696" s="76">
        <v>0</v>
      </c>
      <c r="V696" s="76"/>
      <c r="W696" s="76">
        <v>0</v>
      </c>
      <c r="X696" s="76"/>
      <c r="Y696" s="76">
        <v>0</v>
      </c>
      <c r="Z696" s="76"/>
      <c r="AA696" s="76">
        <v>0</v>
      </c>
      <c r="AB696" s="76"/>
      <c r="AC696" s="76">
        <v>0</v>
      </c>
      <c r="AD696" s="76"/>
      <c r="AE696" s="76">
        <v>0</v>
      </c>
      <c r="AF696" s="76"/>
      <c r="AG696" s="76">
        <v>0</v>
      </c>
      <c r="AH696"/>
      <c r="AI696" s="76">
        <f t="shared" si="10"/>
        <v>311994.63</v>
      </c>
      <c r="AJ696" s="10"/>
    </row>
    <row r="697" spans="1:39" s="21" customFormat="1" ht="12" customHeight="1" x14ac:dyDescent="0.2">
      <c r="A697" s="1" t="s">
        <v>0</v>
      </c>
      <c r="B697" s="1"/>
      <c r="C697" s="1" t="s">
        <v>661</v>
      </c>
      <c r="D697" s="1"/>
      <c r="E697" s="76">
        <v>44229.15</v>
      </c>
      <c r="F697" s="76"/>
      <c r="G697" s="76">
        <v>594573.37</v>
      </c>
      <c r="H697" s="76"/>
      <c r="I697" s="76">
        <v>305214.15999999997</v>
      </c>
      <c r="J697" s="76"/>
      <c r="K697" s="76">
        <v>0</v>
      </c>
      <c r="L697" s="76"/>
      <c r="M697" s="76">
        <v>3003</v>
      </c>
      <c r="N697" s="76"/>
      <c r="O697" s="76">
        <v>136978.53</v>
      </c>
      <c r="P697" s="76"/>
      <c r="Q697" s="76">
        <v>2981.98</v>
      </c>
      <c r="R697" s="76"/>
      <c r="S697" s="76">
        <v>16537.7</v>
      </c>
      <c r="T697" s="76"/>
      <c r="U697" s="76">
        <v>0</v>
      </c>
      <c r="V697" s="76"/>
      <c r="W697" s="76">
        <v>0</v>
      </c>
      <c r="X697" s="76"/>
      <c r="Y697" s="76">
        <v>99569.2</v>
      </c>
      <c r="Z697" s="76"/>
      <c r="AA697" s="76">
        <v>0</v>
      </c>
      <c r="AB697" s="76"/>
      <c r="AC697" s="76">
        <v>0</v>
      </c>
      <c r="AD697" s="76"/>
      <c r="AE697" s="76">
        <v>7214.53</v>
      </c>
      <c r="AF697" s="76"/>
      <c r="AG697" s="76">
        <v>0</v>
      </c>
      <c r="AH697"/>
      <c r="AI697" s="76">
        <f t="shared" si="10"/>
        <v>1210301.6199999999</v>
      </c>
      <c r="AJ697" s="10"/>
      <c r="AK697" s="22"/>
      <c r="AL697" s="22"/>
      <c r="AM697" s="22"/>
    </row>
    <row r="698" spans="1:39" ht="12" customHeight="1" x14ac:dyDescent="0.2">
      <c r="A698" s="1" t="s">
        <v>599</v>
      </c>
      <c r="C698" s="1" t="s">
        <v>596</v>
      </c>
      <c r="E698" s="76">
        <v>113432.92</v>
      </c>
      <c r="F698" s="76"/>
      <c r="G698" s="76">
        <v>223337.47</v>
      </c>
      <c r="H698" s="76"/>
      <c r="I698" s="76">
        <v>73287.350000000006</v>
      </c>
      <c r="J698" s="76"/>
      <c r="K698" s="76">
        <v>672.5</v>
      </c>
      <c r="L698" s="76"/>
      <c r="M698" s="76">
        <v>0</v>
      </c>
      <c r="N698" s="76"/>
      <c r="O698" s="76">
        <v>29090.75</v>
      </c>
      <c r="P698" s="76"/>
      <c r="Q698" s="76">
        <v>4530.8599999999997</v>
      </c>
      <c r="R698" s="76"/>
      <c r="S698" s="76">
        <v>9995.6299999999992</v>
      </c>
      <c r="T698" s="76"/>
      <c r="U698" s="76">
        <v>0</v>
      </c>
      <c r="V698" s="76"/>
      <c r="W698" s="76">
        <v>0</v>
      </c>
      <c r="X698" s="76"/>
      <c r="Y698" s="76">
        <v>0</v>
      </c>
      <c r="Z698" s="76"/>
      <c r="AA698" s="76">
        <v>0</v>
      </c>
      <c r="AB698" s="76"/>
      <c r="AC698" s="76">
        <v>0</v>
      </c>
      <c r="AD698" s="76"/>
      <c r="AE698" s="76">
        <v>0</v>
      </c>
      <c r="AF698" s="76"/>
      <c r="AG698" s="76">
        <v>0</v>
      </c>
      <c r="AH698"/>
      <c r="AI698" s="76">
        <f t="shared" si="10"/>
        <v>454347.48</v>
      </c>
      <c r="AJ698" s="10"/>
    </row>
    <row r="699" spans="1:39" ht="12" customHeight="1" x14ac:dyDescent="0.2">
      <c r="A699" s="1" t="s">
        <v>155</v>
      </c>
      <c r="C699" s="1" t="s">
        <v>781</v>
      </c>
      <c r="E699" s="76">
        <v>131442.82</v>
      </c>
      <c r="F699" s="76"/>
      <c r="G699" s="76">
        <v>991289.74</v>
      </c>
      <c r="H699" s="76"/>
      <c r="I699" s="76">
        <v>43395.05</v>
      </c>
      <c r="J699" s="76"/>
      <c r="K699" s="76">
        <v>0</v>
      </c>
      <c r="L699" s="76"/>
      <c r="M699" s="76">
        <v>5069</v>
      </c>
      <c r="N699" s="76"/>
      <c r="O699" s="76">
        <v>3143.5</v>
      </c>
      <c r="P699" s="76"/>
      <c r="Q699" s="76">
        <v>0</v>
      </c>
      <c r="R699" s="76"/>
      <c r="S699" s="76">
        <v>65354.59</v>
      </c>
      <c r="T699" s="76"/>
      <c r="U699" s="76">
        <v>0</v>
      </c>
      <c r="V699" s="76"/>
      <c r="W699" s="76">
        <v>0</v>
      </c>
      <c r="X699" s="76"/>
      <c r="Y699" s="76">
        <v>0</v>
      </c>
      <c r="Z699" s="76"/>
      <c r="AA699" s="76">
        <v>0</v>
      </c>
      <c r="AB699" s="76"/>
      <c r="AC699" s="76">
        <v>0</v>
      </c>
      <c r="AD699" s="76"/>
      <c r="AE699" s="76">
        <v>0</v>
      </c>
      <c r="AF699" s="76"/>
      <c r="AG699" s="76">
        <v>0</v>
      </c>
      <c r="AH699"/>
      <c r="AI699" s="76">
        <f t="shared" si="10"/>
        <v>1239694.7000000002</v>
      </c>
      <c r="AJ699" s="10"/>
    </row>
    <row r="700" spans="1:39" ht="12" customHeight="1" x14ac:dyDescent="0.2">
      <c r="A700" s="15" t="s">
        <v>263</v>
      </c>
      <c r="B700" s="15"/>
      <c r="C700" s="15" t="s">
        <v>601</v>
      </c>
      <c r="D700" s="15"/>
      <c r="E700" s="76">
        <v>30935.95</v>
      </c>
      <c r="F700" s="76"/>
      <c r="G700" s="76">
        <v>198892.06</v>
      </c>
      <c r="H700" s="76"/>
      <c r="I700" s="76">
        <v>157821.10999999999</v>
      </c>
      <c r="J700" s="76"/>
      <c r="K700" s="76">
        <v>1929.21</v>
      </c>
      <c r="L700" s="76"/>
      <c r="M700" s="76">
        <v>34839.11</v>
      </c>
      <c r="N700" s="76"/>
      <c r="O700" s="76">
        <v>8056.78</v>
      </c>
      <c r="P700" s="76"/>
      <c r="Q700" s="76">
        <v>2168.2199999999998</v>
      </c>
      <c r="R700" s="76"/>
      <c r="S700" s="76">
        <v>3128.99</v>
      </c>
      <c r="T700" s="76"/>
      <c r="U700" s="76">
        <v>0</v>
      </c>
      <c r="V700" s="76"/>
      <c r="W700" s="76">
        <v>0</v>
      </c>
      <c r="X700" s="76"/>
      <c r="Y700" s="76">
        <v>0</v>
      </c>
      <c r="Z700" s="76"/>
      <c r="AA700" s="76">
        <v>0</v>
      </c>
      <c r="AB700" s="76"/>
      <c r="AC700" s="76">
        <v>0</v>
      </c>
      <c r="AD700" s="76"/>
      <c r="AE700" s="76">
        <v>0</v>
      </c>
      <c r="AF700" s="76"/>
      <c r="AG700" s="76">
        <v>0</v>
      </c>
      <c r="AH700"/>
      <c r="AI700" s="76">
        <f t="shared" si="10"/>
        <v>437771.43</v>
      </c>
      <c r="AJ700" s="24"/>
      <c r="AK700" s="15"/>
      <c r="AL700" s="15"/>
      <c r="AM700" s="15"/>
    </row>
    <row r="701" spans="1:39" s="21" customFormat="1" ht="12" customHeight="1" x14ac:dyDescent="0.2">
      <c r="A701" s="1" t="s">
        <v>901</v>
      </c>
      <c r="B701" s="1"/>
      <c r="C701" s="1" t="s">
        <v>609</v>
      </c>
      <c r="D701" s="1"/>
      <c r="E701" s="76">
        <v>31521</v>
      </c>
      <c r="F701" s="76"/>
      <c r="G701" s="76">
        <v>0</v>
      </c>
      <c r="H701" s="76"/>
      <c r="I701" s="76">
        <v>19341</v>
      </c>
      <c r="J701" s="76"/>
      <c r="K701" s="76">
        <v>0</v>
      </c>
      <c r="L701" s="76"/>
      <c r="M701" s="76">
        <v>0</v>
      </c>
      <c r="N701" s="76"/>
      <c r="O701" s="76">
        <v>0</v>
      </c>
      <c r="P701" s="76"/>
      <c r="Q701" s="76">
        <v>454</v>
      </c>
      <c r="R701" s="76"/>
      <c r="S701" s="76">
        <v>15923</v>
      </c>
      <c r="T701" s="76"/>
      <c r="U701" s="76">
        <v>0</v>
      </c>
      <c r="V701" s="76"/>
      <c r="W701" s="76">
        <v>0</v>
      </c>
      <c r="X701" s="76"/>
      <c r="Y701" s="76">
        <v>0</v>
      </c>
      <c r="Z701" s="76"/>
      <c r="AA701" s="76">
        <v>0</v>
      </c>
      <c r="AB701" s="76"/>
      <c r="AC701" s="76">
        <v>0</v>
      </c>
      <c r="AD701" s="76"/>
      <c r="AE701" s="76">
        <v>0</v>
      </c>
      <c r="AF701" s="76"/>
      <c r="AG701" s="76">
        <v>0</v>
      </c>
      <c r="AH701" s="76"/>
      <c r="AI701" s="76">
        <f t="shared" si="10"/>
        <v>67239</v>
      </c>
      <c r="AJ701" s="10"/>
      <c r="AK701" s="1"/>
      <c r="AL701" s="1"/>
      <c r="AM701" s="1"/>
    </row>
    <row r="702" spans="1:39" ht="12" customHeight="1" x14ac:dyDescent="0.2">
      <c r="A702" s="1" t="s">
        <v>458</v>
      </c>
      <c r="C702" s="1" t="s">
        <v>455</v>
      </c>
      <c r="E702" s="76">
        <v>402329</v>
      </c>
      <c r="F702" s="76"/>
      <c r="G702" s="76">
        <v>0</v>
      </c>
      <c r="H702" s="76"/>
      <c r="I702" s="76">
        <v>203510</v>
      </c>
      <c r="J702" s="76"/>
      <c r="K702" s="76">
        <v>0</v>
      </c>
      <c r="L702" s="76"/>
      <c r="M702" s="76">
        <v>253881</v>
      </c>
      <c r="N702" s="76"/>
      <c r="O702" s="76">
        <v>85880</v>
      </c>
      <c r="P702" s="76"/>
      <c r="Q702" s="76">
        <v>0</v>
      </c>
      <c r="R702" s="76"/>
      <c r="S702" s="76">
        <v>94649</v>
      </c>
      <c r="T702" s="76"/>
      <c r="U702" s="76">
        <v>0</v>
      </c>
      <c r="V702" s="76"/>
      <c r="W702" s="76">
        <v>0</v>
      </c>
      <c r="X702" s="76"/>
      <c r="Y702" s="76">
        <v>54318</v>
      </c>
      <c r="Z702" s="76"/>
      <c r="AA702" s="76">
        <v>1256306</v>
      </c>
      <c r="AB702" s="76"/>
      <c r="AC702" s="76">
        <v>0</v>
      </c>
      <c r="AD702" s="76"/>
      <c r="AE702" s="76">
        <v>0</v>
      </c>
      <c r="AF702" s="76"/>
      <c r="AG702" s="76">
        <v>0</v>
      </c>
      <c r="AH702" s="76"/>
      <c r="AI702" s="76">
        <f t="shared" si="10"/>
        <v>2350873</v>
      </c>
      <c r="AJ702" s="10"/>
    </row>
    <row r="703" spans="1:39" s="21" customFormat="1" ht="12" customHeight="1" x14ac:dyDescent="0.2">
      <c r="A703" s="1" t="s">
        <v>577</v>
      </c>
      <c r="B703" s="1"/>
      <c r="C703" s="1" t="s">
        <v>82</v>
      </c>
      <c r="D703" s="1"/>
      <c r="E703" s="76">
        <v>5486</v>
      </c>
      <c r="F703" s="76"/>
      <c r="G703" s="76">
        <v>0</v>
      </c>
      <c r="H703" s="76"/>
      <c r="I703" s="76">
        <v>9288</v>
      </c>
      <c r="J703" s="76"/>
      <c r="K703" s="76">
        <v>0</v>
      </c>
      <c r="L703" s="76"/>
      <c r="M703" s="76">
        <v>0</v>
      </c>
      <c r="N703" s="76"/>
      <c r="O703" s="76">
        <v>0</v>
      </c>
      <c r="P703" s="76"/>
      <c r="Q703" s="76">
        <v>9</v>
      </c>
      <c r="R703" s="76"/>
      <c r="S703" s="76">
        <v>0</v>
      </c>
      <c r="T703" s="76"/>
      <c r="U703" s="76">
        <v>0</v>
      </c>
      <c r="V703" s="76"/>
      <c r="W703" s="76">
        <v>0</v>
      </c>
      <c r="X703" s="76"/>
      <c r="Y703" s="76">
        <v>0</v>
      </c>
      <c r="Z703" s="76"/>
      <c r="AA703" s="76">
        <v>0</v>
      </c>
      <c r="AB703" s="76"/>
      <c r="AC703" s="76">
        <v>0</v>
      </c>
      <c r="AD703" s="76"/>
      <c r="AE703" s="76">
        <v>0</v>
      </c>
      <c r="AF703" s="76"/>
      <c r="AG703" s="76">
        <v>0</v>
      </c>
      <c r="AH703" s="76"/>
      <c r="AI703" s="76">
        <f t="shared" si="10"/>
        <v>14783</v>
      </c>
      <c r="AJ703" s="10"/>
      <c r="AK703" s="1"/>
      <c r="AL703" s="1"/>
      <c r="AM703" s="1"/>
    </row>
    <row r="704" spans="1:39" ht="12" customHeight="1" x14ac:dyDescent="0.2">
      <c r="A704" s="1" t="s">
        <v>40</v>
      </c>
      <c r="C704" s="1" t="s">
        <v>747</v>
      </c>
      <c r="E704" s="76">
        <v>112552.26</v>
      </c>
      <c r="F704" s="76"/>
      <c r="G704" s="76">
        <v>425014.52</v>
      </c>
      <c r="H704" s="76"/>
      <c r="I704" s="76">
        <v>72318.19</v>
      </c>
      <c r="J704" s="76"/>
      <c r="K704" s="76">
        <v>0</v>
      </c>
      <c r="L704" s="76"/>
      <c r="M704" s="76">
        <v>57252.31</v>
      </c>
      <c r="N704" s="76"/>
      <c r="O704" s="76">
        <v>39639.410000000003</v>
      </c>
      <c r="P704" s="76"/>
      <c r="Q704" s="76">
        <v>445.81</v>
      </c>
      <c r="R704" s="76"/>
      <c r="S704" s="76">
        <v>1619.39</v>
      </c>
      <c r="T704" s="76"/>
      <c r="U704" s="76">
        <v>0</v>
      </c>
      <c r="V704" s="76"/>
      <c r="W704" s="76">
        <v>0</v>
      </c>
      <c r="X704" s="76"/>
      <c r="Y704" s="76">
        <v>0</v>
      </c>
      <c r="Z704" s="76"/>
      <c r="AA704" s="76">
        <v>0</v>
      </c>
      <c r="AB704" s="76"/>
      <c r="AC704" s="76">
        <v>0</v>
      </c>
      <c r="AD704" s="76"/>
      <c r="AE704" s="76">
        <v>0</v>
      </c>
      <c r="AF704" s="76"/>
      <c r="AG704" s="76">
        <v>0</v>
      </c>
      <c r="AH704"/>
      <c r="AI704" s="76">
        <f t="shared" si="10"/>
        <v>708841.89000000013</v>
      </c>
      <c r="AJ704" s="10"/>
      <c r="AK704" s="22"/>
      <c r="AL704" s="22"/>
      <c r="AM704" s="22"/>
    </row>
    <row r="705" spans="1:39" s="21" customFormat="1" ht="12" customHeight="1" x14ac:dyDescent="0.2">
      <c r="A705" s="1" t="s">
        <v>192</v>
      </c>
      <c r="B705" s="1"/>
      <c r="C705" s="1" t="s">
        <v>793</v>
      </c>
      <c r="D705" s="1"/>
      <c r="E705" s="76">
        <v>35628.449999999997</v>
      </c>
      <c r="F705" s="76"/>
      <c r="G705" s="76">
        <v>0</v>
      </c>
      <c r="H705" s="76"/>
      <c r="I705" s="76">
        <v>24553.35</v>
      </c>
      <c r="J705" s="76"/>
      <c r="K705" s="76">
        <v>0</v>
      </c>
      <c r="L705" s="76"/>
      <c r="M705" s="76">
        <v>0</v>
      </c>
      <c r="N705" s="76"/>
      <c r="O705" s="76">
        <v>936.38</v>
      </c>
      <c r="P705" s="76"/>
      <c r="Q705" s="76">
        <v>1012.57</v>
      </c>
      <c r="R705" s="76"/>
      <c r="S705" s="76">
        <v>987.74</v>
      </c>
      <c r="T705" s="76"/>
      <c r="U705" s="76">
        <v>0</v>
      </c>
      <c r="V705" s="76"/>
      <c r="W705" s="76">
        <v>0</v>
      </c>
      <c r="X705" s="76"/>
      <c r="Y705" s="76">
        <v>0</v>
      </c>
      <c r="Z705" s="76"/>
      <c r="AA705" s="76">
        <v>0</v>
      </c>
      <c r="AB705" s="76"/>
      <c r="AC705" s="76">
        <v>0</v>
      </c>
      <c r="AD705" s="76"/>
      <c r="AE705" s="76">
        <v>0</v>
      </c>
      <c r="AF705" s="76"/>
      <c r="AG705" s="76">
        <v>0</v>
      </c>
      <c r="AH705" s="81"/>
      <c r="AI705" s="76">
        <f t="shared" si="10"/>
        <v>63118.489999999991</v>
      </c>
      <c r="AJ705" s="10"/>
      <c r="AK705" s="1"/>
      <c r="AL705" s="1"/>
      <c r="AM705" s="1"/>
    </row>
    <row r="706" spans="1:39" ht="12" customHeight="1" x14ac:dyDescent="0.2">
      <c r="A706" s="1" t="s">
        <v>576</v>
      </c>
      <c r="C706" s="1" t="s">
        <v>572</v>
      </c>
      <c r="E706" s="76">
        <v>28514.77</v>
      </c>
      <c r="F706" s="76"/>
      <c r="G706" s="76">
        <v>48162.400000000001</v>
      </c>
      <c r="H706" s="76"/>
      <c r="I706" s="76">
        <v>26092.33</v>
      </c>
      <c r="J706" s="76"/>
      <c r="K706" s="76">
        <v>0</v>
      </c>
      <c r="L706" s="76"/>
      <c r="M706" s="76">
        <v>0</v>
      </c>
      <c r="N706" s="76"/>
      <c r="O706" s="76">
        <v>1325.87</v>
      </c>
      <c r="P706" s="76"/>
      <c r="Q706" s="76">
        <v>147.07</v>
      </c>
      <c r="R706" s="76"/>
      <c r="S706" s="76">
        <v>4240.3</v>
      </c>
      <c r="T706" s="76"/>
      <c r="U706" s="76">
        <v>0</v>
      </c>
      <c r="V706" s="76"/>
      <c r="W706" s="76">
        <v>0</v>
      </c>
      <c r="X706" s="76"/>
      <c r="Y706" s="76">
        <v>0</v>
      </c>
      <c r="Z706" s="76"/>
      <c r="AA706" s="76">
        <v>0</v>
      </c>
      <c r="AB706" s="76"/>
      <c r="AC706" s="76">
        <v>0</v>
      </c>
      <c r="AD706" s="76"/>
      <c r="AE706" s="76">
        <v>0</v>
      </c>
      <c r="AF706" s="76"/>
      <c r="AG706" s="76">
        <v>0</v>
      </c>
      <c r="AH706"/>
      <c r="AI706" s="76">
        <f t="shared" si="10"/>
        <v>108482.74</v>
      </c>
      <c r="AJ706" s="10"/>
    </row>
    <row r="707" spans="1:39" ht="12" customHeight="1" x14ac:dyDescent="0.2">
      <c r="A707" s="1" t="s">
        <v>845</v>
      </c>
      <c r="C707" s="1" t="s">
        <v>804</v>
      </c>
      <c r="E707" s="76">
        <v>9291.99</v>
      </c>
      <c r="F707" s="76"/>
      <c r="G707" s="76">
        <v>97668.79</v>
      </c>
      <c r="H707" s="76"/>
      <c r="I707" s="76">
        <v>6116.94</v>
      </c>
      <c r="J707" s="76"/>
      <c r="K707" s="76">
        <v>0</v>
      </c>
      <c r="L707" s="76"/>
      <c r="M707" s="76">
        <v>0</v>
      </c>
      <c r="N707" s="76"/>
      <c r="O707" s="76">
        <v>2498.73</v>
      </c>
      <c r="P707" s="76"/>
      <c r="Q707" s="76">
        <v>84.89</v>
      </c>
      <c r="R707" s="76"/>
      <c r="S707" s="76">
        <v>1137.51</v>
      </c>
      <c r="T707" s="76"/>
      <c r="U707" s="76">
        <v>0</v>
      </c>
      <c r="V707" s="76"/>
      <c r="W707" s="76">
        <v>0</v>
      </c>
      <c r="X707" s="76"/>
      <c r="Y707" s="76">
        <v>0</v>
      </c>
      <c r="Z707" s="76"/>
      <c r="AA707" s="76">
        <v>0</v>
      </c>
      <c r="AB707" s="76"/>
      <c r="AC707" s="76">
        <v>0</v>
      </c>
      <c r="AD707" s="76"/>
      <c r="AE707" s="76">
        <v>0</v>
      </c>
      <c r="AF707" s="76"/>
      <c r="AG707" s="76">
        <v>0</v>
      </c>
      <c r="AH707"/>
      <c r="AI707" s="76">
        <f t="shared" si="10"/>
        <v>116798.84999999999</v>
      </c>
      <c r="AJ707" s="10"/>
      <c r="AK707" s="21"/>
      <c r="AL707" s="21"/>
      <c r="AM707" s="21"/>
    </row>
    <row r="708" spans="1:39" ht="12" customHeight="1" x14ac:dyDescent="0.2">
      <c r="A708" s="1" t="s">
        <v>478</v>
      </c>
      <c r="C708" s="1" t="s">
        <v>474</v>
      </c>
      <c r="E708" s="76">
        <v>10775</v>
      </c>
      <c r="F708" s="76"/>
      <c r="G708" s="76">
        <v>0</v>
      </c>
      <c r="H708" s="76"/>
      <c r="I708" s="76">
        <v>5297</v>
      </c>
      <c r="J708" s="76"/>
      <c r="K708" s="76">
        <v>0</v>
      </c>
      <c r="L708" s="76"/>
      <c r="M708" s="76">
        <v>0</v>
      </c>
      <c r="N708" s="76"/>
      <c r="O708" s="76">
        <v>325</v>
      </c>
      <c r="P708" s="76"/>
      <c r="Q708" s="76">
        <v>62</v>
      </c>
      <c r="R708" s="76"/>
      <c r="S708" s="76">
        <v>5</v>
      </c>
      <c r="T708" s="76"/>
      <c r="U708" s="76">
        <v>0</v>
      </c>
      <c r="V708" s="76"/>
      <c r="W708" s="76">
        <v>0</v>
      </c>
      <c r="X708" s="76"/>
      <c r="Y708" s="76">
        <v>0</v>
      </c>
      <c r="Z708" s="76"/>
      <c r="AA708" s="76">
        <v>0</v>
      </c>
      <c r="AB708" s="76"/>
      <c r="AC708" s="76">
        <v>0</v>
      </c>
      <c r="AD708" s="76"/>
      <c r="AE708" s="76">
        <v>0</v>
      </c>
      <c r="AF708" s="76"/>
      <c r="AG708" s="76">
        <v>0</v>
      </c>
      <c r="AH708" s="76"/>
      <c r="AI708" s="76">
        <f t="shared" si="10"/>
        <v>16464</v>
      </c>
      <c r="AJ708" s="10"/>
    </row>
    <row r="709" spans="1:39" s="21" customFormat="1" ht="12" customHeight="1" x14ac:dyDescent="0.2">
      <c r="A709" s="1" t="s">
        <v>1</v>
      </c>
      <c r="B709" s="1"/>
      <c r="C709" s="1" t="s">
        <v>661</v>
      </c>
      <c r="D709" s="1"/>
      <c r="E709" s="76">
        <v>87703.2</v>
      </c>
      <c r="F709" s="76"/>
      <c r="G709" s="76">
        <v>0</v>
      </c>
      <c r="H709" s="76"/>
      <c r="I709" s="76">
        <v>58944.44</v>
      </c>
      <c r="J709" s="76"/>
      <c r="K709" s="76">
        <v>0</v>
      </c>
      <c r="L709" s="76"/>
      <c r="M709" s="76">
        <v>0</v>
      </c>
      <c r="N709" s="76"/>
      <c r="O709" s="76">
        <v>75590.39</v>
      </c>
      <c r="P709" s="76"/>
      <c r="Q709" s="76">
        <v>460.98</v>
      </c>
      <c r="R709" s="76"/>
      <c r="S709" s="76">
        <v>38789.97</v>
      </c>
      <c r="T709" s="76"/>
      <c r="U709" s="76">
        <v>0</v>
      </c>
      <c r="V709" s="76"/>
      <c r="W709" s="76">
        <v>0</v>
      </c>
      <c r="X709" s="76"/>
      <c r="Y709" s="76">
        <v>0</v>
      </c>
      <c r="Z709" s="76"/>
      <c r="AA709" s="76">
        <v>0</v>
      </c>
      <c r="AB709" s="76"/>
      <c r="AC709" s="76">
        <v>14604</v>
      </c>
      <c r="AD709" s="76"/>
      <c r="AE709" s="76">
        <v>0</v>
      </c>
      <c r="AF709" s="76"/>
      <c r="AG709" s="76">
        <v>0</v>
      </c>
      <c r="AH709" s="81"/>
      <c r="AI709" s="76">
        <f t="shared" si="10"/>
        <v>276092.98000000004</v>
      </c>
      <c r="AJ709" s="10"/>
    </row>
    <row r="710" spans="1:39" ht="12" customHeight="1" x14ac:dyDescent="0.2">
      <c r="A710" s="1" t="s">
        <v>197</v>
      </c>
      <c r="C710" s="1" t="s">
        <v>795</v>
      </c>
      <c r="E710" s="76">
        <v>82637.78</v>
      </c>
      <c r="F710" s="76"/>
      <c r="G710" s="76">
        <v>478146.63</v>
      </c>
      <c r="H710" s="76"/>
      <c r="I710" s="76">
        <v>129216.58</v>
      </c>
      <c r="J710" s="76"/>
      <c r="K710" s="76">
        <v>0</v>
      </c>
      <c r="L710" s="76"/>
      <c r="M710" s="76">
        <v>0</v>
      </c>
      <c r="N710" s="76"/>
      <c r="O710" s="76">
        <v>53123.01</v>
      </c>
      <c r="P710" s="76"/>
      <c r="Q710" s="76">
        <v>603.16</v>
      </c>
      <c r="R710" s="76"/>
      <c r="S710" s="76">
        <v>3552.45</v>
      </c>
      <c r="T710" s="76"/>
      <c r="U710" s="76">
        <v>0</v>
      </c>
      <c r="V710" s="76"/>
      <c r="W710" s="76">
        <v>0</v>
      </c>
      <c r="X710" s="76"/>
      <c r="Y710" s="76">
        <v>0</v>
      </c>
      <c r="Z710" s="76"/>
      <c r="AA710" s="76">
        <v>19602</v>
      </c>
      <c r="AB710" s="76"/>
      <c r="AC710" s="76">
        <v>0</v>
      </c>
      <c r="AD710" s="76"/>
      <c r="AE710" s="76">
        <v>29695.78</v>
      </c>
      <c r="AF710" s="76"/>
      <c r="AG710" s="76">
        <v>0</v>
      </c>
      <c r="AH710"/>
      <c r="AI710" s="76">
        <f t="shared" si="10"/>
        <v>796577.39</v>
      </c>
      <c r="AJ710" s="10"/>
    </row>
    <row r="711" spans="1:39" s="10" customFormat="1" ht="12" customHeight="1" x14ac:dyDescent="0.2">
      <c r="A711" s="1" t="s">
        <v>846</v>
      </c>
      <c r="B711" s="1"/>
      <c r="C711" s="1" t="s">
        <v>770</v>
      </c>
      <c r="D711" s="1"/>
      <c r="E711" s="76">
        <v>161927.92000000001</v>
      </c>
      <c r="F711" s="76"/>
      <c r="G711" s="76">
        <v>950605.6</v>
      </c>
      <c r="H711" s="76"/>
      <c r="I711" s="76">
        <v>89382.48</v>
      </c>
      <c r="J711" s="76"/>
      <c r="K711" s="76">
        <v>0</v>
      </c>
      <c r="L711" s="76"/>
      <c r="M711" s="76">
        <v>55260.75</v>
      </c>
      <c r="N711" s="76"/>
      <c r="O711" s="76">
        <v>93426.51</v>
      </c>
      <c r="P711" s="76"/>
      <c r="Q711" s="76">
        <v>3052.84</v>
      </c>
      <c r="R711" s="76"/>
      <c r="S711" s="76">
        <v>62413.1</v>
      </c>
      <c r="T711" s="76"/>
      <c r="U711" s="76">
        <v>0</v>
      </c>
      <c r="V711" s="76"/>
      <c r="W711" s="76">
        <v>0</v>
      </c>
      <c r="X711" s="76"/>
      <c r="Y711" s="76">
        <v>0</v>
      </c>
      <c r="Z711" s="76"/>
      <c r="AA711" s="76">
        <v>0</v>
      </c>
      <c r="AB711" s="76"/>
      <c r="AC711" s="76">
        <v>60200</v>
      </c>
      <c r="AD711" s="76"/>
      <c r="AE711" s="76">
        <v>0</v>
      </c>
      <c r="AF711" s="76"/>
      <c r="AG711" s="76">
        <v>0</v>
      </c>
      <c r="AH711"/>
      <c r="AI711" s="76">
        <f t="shared" si="10"/>
        <v>1476269.2000000002</v>
      </c>
      <c r="AK711" s="1"/>
      <c r="AL711" s="1"/>
      <c r="AM711" s="1"/>
    </row>
    <row r="712" spans="1:39" s="10" customFormat="1" ht="12" hidden="1" customHeight="1" x14ac:dyDescent="0.2">
      <c r="A712" s="1" t="s">
        <v>386</v>
      </c>
      <c r="B712" s="1"/>
      <c r="C712" s="1" t="s">
        <v>378</v>
      </c>
      <c r="D712" s="1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/>
      <c r="AI712" s="76">
        <f t="shared" si="10"/>
        <v>0</v>
      </c>
      <c r="AK712" s="1"/>
      <c r="AL712" s="1"/>
      <c r="AM712" s="1"/>
    </row>
    <row r="713" spans="1:39" s="10" customFormat="1" ht="12" hidden="1" customHeight="1" x14ac:dyDescent="0.2">
      <c r="A713" s="1" t="s">
        <v>327</v>
      </c>
      <c r="B713" s="1"/>
      <c r="C713" s="1" t="s">
        <v>316</v>
      </c>
      <c r="D713" s="1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/>
      <c r="AI713" s="76">
        <f t="shared" si="10"/>
        <v>0</v>
      </c>
      <c r="AK713" s="1"/>
      <c r="AL713" s="1"/>
      <c r="AM713" s="1"/>
    </row>
    <row r="714" spans="1:39" s="21" customFormat="1" ht="12" customHeight="1" x14ac:dyDescent="0.2">
      <c r="A714" s="1" t="s">
        <v>166</v>
      </c>
      <c r="B714" s="1"/>
      <c r="C714" s="1" t="s">
        <v>785</v>
      </c>
      <c r="D714" s="1"/>
      <c r="E714" s="76">
        <v>40045.129999999997</v>
      </c>
      <c r="F714" s="76"/>
      <c r="G714" s="76">
        <v>232177.91</v>
      </c>
      <c r="H714" s="76"/>
      <c r="I714" s="76">
        <v>75886.2</v>
      </c>
      <c r="J714" s="76"/>
      <c r="K714" s="76">
        <v>0</v>
      </c>
      <c r="L714" s="76"/>
      <c r="M714" s="76">
        <v>152786.63</v>
      </c>
      <c r="N714" s="76"/>
      <c r="O714" s="76">
        <v>29974.36</v>
      </c>
      <c r="P714" s="76"/>
      <c r="Q714" s="76">
        <v>1114.19</v>
      </c>
      <c r="R714" s="76"/>
      <c r="S714" s="76">
        <v>22922.84</v>
      </c>
      <c r="T714" s="76"/>
      <c r="U714" s="76">
        <v>0</v>
      </c>
      <c r="V714" s="76"/>
      <c r="W714" s="76">
        <v>0</v>
      </c>
      <c r="X714" s="76"/>
      <c r="Y714" s="76">
        <v>0</v>
      </c>
      <c r="Z714" s="76"/>
      <c r="AA714" s="76">
        <v>9526.36</v>
      </c>
      <c r="AB714" s="76"/>
      <c r="AC714" s="76">
        <v>0</v>
      </c>
      <c r="AD714" s="76"/>
      <c r="AE714" s="76">
        <v>0</v>
      </c>
      <c r="AF714" s="76"/>
      <c r="AG714" s="76">
        <v>0</v>
      </c>
      <c r="AH714"/>
      <c r="AI714" s="76">
        <f t="shared" si="10"/>
        <v>564433.61999999988</v>
      </c>
      <c r="AJ714" s="10"/>
      <c r="AK714" s="1"/>
      <c r="AL714" s="1"/>
      <c r="AM714" s="1"/>
    </row>
    <row r="715" spans="1:39" ht="12" customHeight="1" x14ac:dyDescent="0.2">
      <c r="A715" s="1" t="s">
        <v>290</v>
      </c>
      <c r="C715" s="1" t="s">
        <v>287</v>
      </c>
      <c r="E715" s="76">
        <v>4154.17</v>
      </c>
      <c r="F715" s="76"/>
      <c r="G715" s="76">
        <v>37529.1</v>
      </c>
      <c r="H715" s="76"/>
      <c r="I715" s="76">
        <v>11199.04</v>
      </c>
      <c r="J715" s="76"/>
      <c r="K715" s="76">
        <v>0</v>
      </c>
      <c r="L715" s="76"/>
      <c r="M715" s="76">
        <v>0</v>
      </c>
      <c r="N715" s="76"/>
      <c r="O715" s="76">
        <v>70</v>
      </c>
      <c r="P715" s="76"/>
      <c r="Q715" s="76">
        <v>0</v>
      </c>
      <c r="R715" s="76"/>
      <c r="S715" s="76">
        <v>6315.39</v>
      </c>
      <c r="T715" s="76"/>
      <c r="U715" s="76">
        <v>0</v>
      </c>
      <c r="V715" s="76"/>
      <c r="W715" s="76">
        <v>0</v>
      </c>
      <c r="X715" s="76"/>
      <c r="Y715" s="76">
        <v>0</v>
      </c>
      <c r="Z715" s="76"/>
      <c r="AA715" s="76">
        <v>0</v>
      </c>
      <c r="AB715" s="76"/>
      <c r="AC715" s="76">
        <v>0</v>
      </c>
      <c r="AD715" s="76"/>
      <c r="AE715" s="76">
        <v>14228</v>
      </c>
      <c r="AF715" s="76"/>
      <c r="AG715" s="76">
        <v>0</v>
      </c>
      <c r="AH715"/>
      <c r="AI715" s="76">
        <f t="shared" si="10"/>
        <v>73495.7</v>
      </c>
      <c r="AJ715" s="10"/>
      <c r="AK715" s="22"/>
      <c r="AL715" s="22"/>
      <c r="AM715" s="22"/>
    </row>
    <row r="716" spans="1:39" s="21" customFormat="1" ht="12" customHeight="1" x14ac:dyDescent="0.2">
      <c r="A716" s="1" t="s">
        <v>527</v>
      </c>
      <c r="B716" s="1"/>
      <c r="C716" s="1" t="s">
        <v>525</v>
      </c>
      <c r="D716" s="1"/>
      <c r="E716" s="76">
        <v>341837</v>
      </c>
      <c r="F716" s="76"/>
      <c r="G716" s="76">
        <v>0</v>
      </c>
      <c r="H716" s="76"/>
      <c r="I716" s="76">
        <v>182588</v>
      </c>
      <c r="J716" s="76"/>
      <c r="K716" s="76">
        <v>0</v>
      </c>
      <c r="L716" s="76"/>
      <c r="M716" s="76">
        <v>18313</v>
      </c>
      <c r="N716" s="76"/>
      <c r="O716" s="76">
        <v>60453</v>
      </c>
      <c r="P716" s="76"/>
      <c r="Q716" s="76">
        <v>2026</v>
      </c>
      <c r="R716" s="76"/>
      <c r="S716" s="76">
        <v>13598</v>
      </c>
      <c r="T716" s="76"/>
      <c r="U716" s="76">
        <v>0</v>
      </c>
      <c r="V716" s="76"/>
      <c r="W716" s="76">
        <v>0</v>
      </c>
      <c r="X716" s="76"/>
      <c r="Y716" s="76">
        <v>0</v>
      </c>
      <c r="Z716" s="76"/>
      <c r="AA716" s="76">
        <v>0</v>
      </c>
      <c r="AB716" s="76"/>
      <c r="AC716" s="76">
        <v>0</v>
      </c>
      <c r="AD716" s="76"/>
      <c r="AE716" s="76">
        <v>0</v>
      </c>
      <c r="AF716" s="76"/>
      <c r="AG716" s="76">
        <v>0</v>
      </c>
      <c r="AH716" s="76"/>
      <c r="AI716" s="76">
        <f t="shared" si="10"/>
        <v>618815</v>
      </c>
      <c r="AJ716" s="10"/>
      <c r="AK716" s="1"/>
      <c r="AL716" s="1"/>
      <c r="AM716" s="1"/>
    </row>
    <row r="717" spans="1:39" s="21" customFormat="1" ht="12" customHeight="1" x14ac:dyDescent="0.2">
      <c r="A717" s="1" t="s">
        <v>240</v>
      </c>
      <c r="B717" s="1"/>
      <c r="C717" s="1" t="s">
        <v>808</v>
      </c>
      <c r="D717" s="1"/>
      <c r="E717" s="76">
        <v>12931.66</v>
      </c>
      <c r="F717" s="76"/>
      <c r="G717" s="76">
        <v>0</v>
      </c>
      <c r="H717" s="76"/>
      <c r="I717" s="76">
        <v>15945.23</v>
      </c>
      <c r="J717" s="76"/>
      <c r="K717" s="76">
        <v>0</v>
      </c>
      <c r="L717" s="76"/>
      <c r="M717" s="76">
        <v>1507.9</v>
      </c>
      <c r="N717" s="76"/>
      <c r="O717" s="76">
        <v>75</v>
      </c>
      <c r="P717" s="76"/>
      <c r="Q717" s="76">
        <v>17.190000000000001</v>
      </c>
      <c r="R717" s="76"/>
      <c r="S717" s="76">
        <v>15409.66</v>
      </c>
      <c r="T717" s="76"/>
      <c r="U717" s="76">
        <v>0</v>
      </c>
      <c r="V717" s="76"/>
      <c r="W717" s="76">
        <v>0</v>
      </c>
      <c r="X717" s="76"/>
      <c r="Y717" s="76">
        <v>0</v>
      </c>
      <c r="Z717" s="76"/>
      <c r="AA717" s="76">
        <v>0</v>
      </c>
      <c r="AB717" s="76"/>
      <c r="AC717" s="76">
        <v>0</v>
      </c>
      <c r="AD717" s="76"/>
      <c r="AE717" s="76">
        <v>0</v>
      </c>
      <c r="AF717" s="76"/>
      <c r="AG717" s="76">
        <v>0</v>
      </c>
      <c r="AH717"/>
      <c r="AI717" s="76">
        <f t="shared" si="10"/>
        <v>45886.64</v>
      </c>
      <c r="AJ717" s="10"/>
      <c r="AK717" s="1"/>
      <c r="AL717" s="1"/>
      <c r="AM717" s="1"/>
    </row>
    <row r="718" spans="1:39" s="21" customFormat="1" ht="12" customHeight="1" x14ac:dyDescent="0.2">
      <c r="A718" s="1" t="s">
        <v>231</v>
      </c>
      <c r="B718" s="1"/>
      <c r="C718" s="1" t="s">
        <v>805</v>
      </c>
      <c r="D718" s="1"/>
      <c r="E718" s="76">
        <v>13853.36</v>
      </c>
      <c r="F718" s="76"/>
      <c r="G718" s="76">
        <v>0</v>
      </c>
      <c r="H718" s="76"/>
      <c r="I718" s="76">
        <v>7115.9</v>
      </c>
      <c r="J718" s="76"/>
      <c r="K718" s="76">
        <v>0</v>
      </c>
      <c r="L718" s="76"/>
      <c r="M718" s="76">
        <v>0</v>
      </c>
      <c r="N718" s="76"/>
      <c r="O718" s="76">
        <v>1402.94</v>
      </c>
      <c r="P718" s="76"/>
      <c r="Q718" s="76">
        <v>17.63</v>
      </c>
      <c r="R718" s="76"/>
      <c r="S718" s="76">
        <v>0</v>
      </c>
      <c r="T718" s="76"/>
      <c r="U718" s="76">
        <v>0</v>
      </c>
      <c r="V718" s="76"/>
      <c r="W718" s="76">
        <v>0</v>
      </c>
      <c r="X718" s="76"/>
      <c r="Y718" s="76">
        <v>0</v>
      </c>
      <c r="Z718" s="76"/>
      <c r="AA718" s="76">
        <v>0</v>
      </c>
      <c r="AB718" s="76"/>
      <c r="AC718" s="76">
        <v>0</v>
      </c>
      <c r="AD718" s="76"/>
      <c r="AE718" s="76">
        <v>0</v>
      </c>
      <c r="AF718" s="76"/>
      <c r="AG718" s="76">
        <v>0</v>
      </c>
      <c r="AH718" s="81"/>
      <c r="AI718" s="76">
        <f t="shared" si="10"/>
        <v>22389.83</v>
      </c>
      <c r="AJ718" s="10"/>
      <c r="AK718" s="1"/>
      <c r="AL718" s="1"/>
      <c r="AM718" s="1"/>
    </row>
    <row r="719" spans="1:39" ht="12" customHeight="1" x14ac:dyDescent="0.2">
      <c r="A719" s="1" t="s">
        <v>374</v>
      </c>
      <c r="C719" s="1" t="s">
        <v>371</v>
      </c>
      <c r="E719" s="76">
        <v>1012363</v>
      </c>
      <c r="F719" s="76"/>
      <c r="G719" s="76">
        <v>1158919</v>
      </c>
      <c r="H719" s="76"/>
      <c r="I719" s="76">
        <v>352804</v>
      </c>
      <c r="J719" s="76"/>
      <c r="K719" s="76">
        <v>0</v>
      </c>
      <c r="L719" s="76"/>
      <c r="M719" s="76">
        <v>76413</v>
      </c>
      <c r="N719" s="76"/>
      <c r="O719" s="76">
        <v>43259</v>
      </c>
      <c r="P719" s="76"/>
      <c r="Q719" s="76">
        <v>1193</v>
      </c>
      <c r="R719" s="76"/>
      <c r="S719" s="76">
        <v>195397</v>
      </c>
      <c r="T719" s="76"/>
      <c r="U719" s="76">
        <v>0</v>
      </c>
      <c r="V719" s="76"/>
      <c r="W719" s="76">
        <v>0</v>
      </c>
      <c r="X719" s="76"/>
      <c r="Y719" s="76">
        <v>0</v>
      </c>
      <c r="Z719" s="76"/>
      <c r="AA719" s="76">
        <v>0</v>
      </c>
      <c r="AB719" s="76"/>
      <c r="AC719" s="76">
        <v>0</v>
      </c>
      <c r="AD719" s="76"/>
      <c r="AE719" s="76">
        <v>0</v>
      </c>
      <c r="AF719" s="76"/>
      <c r="AG719" s="76">
        <v>0</v>
      </c>
      <c r="AH719" s="76"/>
      <c r="AI719" s="76">
        <f t="shared" si="10"/>
        <v>2840348</v>
      </c>
      <c r="AJ719" s="10"/>
    </row>
    <row r="720" spans="1:39" ht="12" customHeight="1" x14ac:dyDescent="0.2">
      <c r="A720" s="1" t="s">
        <v>340</v>
      </c>
      <c r="C720" s="1" t="s">
        <v>329</v>
      </c>
      <c r="E720" s="76">
        <v>1421</v>
      </c>
      <c r="F720" s="76"/>
      <c r="G720" s="76">
        <v>0</v>
      </c>
      <c r="H720" s="76"/>
      <c r="I720" s="76">
        <v>17081</v>
      </c>
      <c r="J720" s="76"/>
      <c r="K720" s="76">
        <v>0</v>
      </c>
      <c r="L720" s="76"/>
      <c r="M720" s="76">
        <v>0</v>
      </c>
      <c r="N720" s="76"/>
      <c r="O720" s="76">
        <v>1772</v>
      </c>
      <c r="P720" s="76"/>
      <c r="Q720" s="76">
        <v>279</v>
      </c>
      <c r="R720" s="76"/>
      <c r="S720" s="76">
        <v>1476</v>
      </c>
      <c r="T720" s="76"/>
      <c r="U720" s="76">
        <v>0</v>
      </c>
      <c r="V720" s="76"/>
      <c r="W720" s="76">
        <v>0</v>
      </c>
      <c r="X720" s="76"/>
      <c r="Y720" s="76">
        <v>0</v>
      </c>
      <c r="Z720" s="76"/>
      <c r="AA720" s="76">
        <v>0</v>
      </c>
      <c r="AB720" s="76"/>
      <c r="AC720" s="76">
        <v>0</v>
      </c>
      <c r="AD720" s="76"/>
      <c r="AE720" s="76">
        <v>50122</v>
      </c>
      <c r="AF720" s="76"/>
      <c r="AG720" s="76">
        <v>0</v>
      </c>
      <c r="AH720" s="76"/>
      <c r="AI720" s="76">
        <f t="shared" si="10"/>
        <v>72151</v>
      </c>
      <c r="AJ720" s="36"/>
      <c r="AK720" s="7"/>
      <c r="AL720" s="7"/>
      <c r="AM720" s="7"/>
    </row>
    <row r="721" spans="1:39" s="15" customFormat="1" ht="12" customHeight="1" x14ac:dyDescent="0.2">
      <c r="A721" s="1" t="s">
        <v>425</v>
      </c>
      <c r="B721" s="1"/>
      <c r="C721" s="1" t="s">
        <v>420</v>
      </c>
      <c r="D721" s="1"/>
      <c r="E721" s="76">
        <v>172661</v>
      </c>
      <c r="F721" s="76"/>
      <c r="G721" s="76">
        <v>0</v>
      </c>
      <c r="H721" s="76"/>
      <c r="I721" s="76">
        <v>51164</v>
      </c>
      <c r="J721" s="76"/>
      <c r="K721" s="76">
        <v>0</v>
      </c>
      <c r="L721" s="76"/>
      <c r="M721" s="76">
        <v>0</v>
      </c>
      <c r="N721" s="76"/>
      <c r="O721" s="76">
        <v>10358</v>
      </c>
      <c r="P721" s="76"/>
      <c r="Q721" s="76">
        <v>0</v>
      </c>
      <c r="R721" s="76"/>
      <c r="S721" s="76">
        <v>19415</v>
      </c>
      <c r="T721" s="76"/>
      <c r="U721" s="76">
        <v>0</v>
      </c>
      <c r="V721" s="76"/>
      <c r="W721" s="76">
        <v>0</v>
      </c>
      <c r="X721" s="76"/>
      <c r="Y721" s="76">
        <v>0</v>
      </c>
      <c r="Z721" s="76"/>
      <c r="AA721" s="76">
        <v>0</v>
      </c>
      <c r="AB721" s="76"/>
      <c r="AC721" s="76">
        <v>20</v>
      </c>
      <c r="AD721" s="76"/>
      <c r="AE721" s="76">
        <v>0</v>
      </c>
      <c r="AF721" s="76"/>
      <c r="AG721" s="76">
        <v>0</v>
      </c>
      <c r="AH721" s="76"/>
      <c r="AI721" s="76">
        <f t="shared" si="10"/>
        <v>253618</v>
      </c>
      <c r="AJ721" s="10"/>
      <c r="AK721" s="1"/>
      <c r="AL721" s="1"/>
      <c r="AM721" s="1"/>
    </row>
    <row r="722" spans="1:39" s="21" customFormat="1" ht="12" customHeight="1" x14ac:dyDescent="0.2">
      <c r="A722" s="1" t="s">
        <v>578</v>
      </c>
      <c r="B722" s="1"/>
      <c r="C722" s="1" t="s">
        <v>82</v>
      </c>
      <c r="D722" s="1"/>
      <c r="E722" s="76">
        <v>3475</v>
      </c>
      <c r="F722" s="76"/>
      <c r="G722" s="76">
        <v>0</v>
      </c>
      <c r="H722" s="76"/>
      <c r="I722" s="76">
        <v>10528</v>
      </c>
      <c r="J722" s="76"/>
      <c r="K722" s="76">
        <v>0</v>
      </c>
      <c r="L722" s="76"/>
      <c r="M722" s="76">
        <v>0</v>
      </c>
      <c r="N722" s="76"/>
      <c r="O722" s="76">
        <v>0</v>
      </c>
      <c r="P722" s="76"/>
      <c r="Q722" s="76">
        <v>215</v>
      </c>
      <c r="R722" s="76"/>
      <c r="S722" s="76">
        <v>463</v>
      </c>
      <c r="T722" s="76"/>
      <c r="U722" s="76">
        <v>0</v>
      </c>
      <c r="V722" s="76"/>
      <c r="W722" s="76">
        <v>0</v>
      </c>
      <c r="X722" s="76"/>
      <c r="Y722" s="76">
        <v>0</v>
      </c>
      <c r="Z722" s="76"/>
      <c r="AA722" s="76">
        <v>0</v>
      </c>
      <c r="AB722" s="76"/>
      <c r="AC722" s="76">
        <v>0</v>
      </c>
      <c r="AD722" s="76"/>
      <c r="AE722" s="76">
        <v>0</v>
      </c>
      <c r="AF722" s="76"/>
      <c r="AG722" s="76">
        <v>0</v>
      </c>
      <c r="AH722" s="79"/>
      <c r="AI722" s="76">
        <f t="shared" si="10"/>
        <v>14681</v>
      </c>
      <c r="AJ722" s="10"/>
      <c r="AK722" s="1"/>
      <c r="AL722" s="1"/>
      <c r="AM722" s="1"/>
    </row>
    <row r="723" spans="1:39" ht="12" customHeight="1" x14ac:dyDescent="0.2">
      <c r="A723" s="1" t="s">
        <v>449</v>
      </c>
      <c r="C723" s="1" t="s">
        <v>446</v>
      </c>
      <c r="E723" s="76">
        <v>7364</v>
      </c>
      <c r="F723" s="76"/>
      <c r="G723" s="76">
        <v>0</v>
      </c>
      <c r="H723" s="76"/>
      <c r="I723" s="76">
        <v>8432</v>
      </c>
      <c r="J723" s="76"/>
      <c r="K723" s="76">
        <v>0</v>
      </c>
      <c r="L723" s="76"/>
      <c r="M723" s="76">
        <v>0</v>
      </c>
      <c r="N723" s="76"/>
      <c r="O723" s="76">
        <v>0</v>
      </c>
      <c r="P723" s="76"/>
      <c r="Q723" s="76">
        <v>57</v>
      </c>
      <c r="R723" s="76"/>
      <c r="S723" s="76">
        <v>150</v>
      </c>
      <c r="T723" s="76"/>
      <c r="U723" s="76">
        <v>0</v>
      </c>
      <c r="V723" s="76"/>
      <c r="W723" s="76">
        <v>0</v>
      </c>
      <c r="X723" s="76"/>
      <c r="Y723" s="76">
        <v>0</v>
      </c>
      <c r="Z723" s="76"/>
      <c r="AA723" s="76">
        <v>0</v>
      </c>
      <c r="AB723" s="76"/>
      <c r="AC723" s="76">
        <v>0</v>
      </c>
      <c r="AD723" s="76"/>
      <c r="AE723" s="76">
        <v>0</v>
      </c>
      <c r="AF723" s="76"/>
      <c r="AG723" s="76">
        <v>0</v>
      </c>
      <c r="AH723" s="76"/>
      <c r="AI723" s="76">
        <f t="shared" si="10"/>
        <v>16003</v>
      </c>
      <c r="AJ723" s="10"/>
    </row>
    <row r="724" spans="1:39" ht="12" customHeight="1" x14ac:dyDescent="0.2">
      <c r="A724" s="1" t="s">
        <v>235</v>
      </c>
      <c r="C724" s="1" t="s">
        <v>806</v>
      </c>
      <c r="E724" s="76">
        <v>19248.38</v>
      </c>
      <c r="F724" s="76"/>
      <c r="G724" s="76">
        <v>0</v>
      </c>
      <c r="H724" s="76"/>
      <c r="I724" s="76">
        <v>4532.7700000000004</v>
      </c>
      <c r="J724" s="76"/>
      <c r="K724" s="76">
        <v>0</v>
      </c>
      <c r="L724" s="76"/>
      <c r="M724" s="76">
        <v>0</v>
      </c>
      <c r="N724" s="76"/>
      <c r="O724" s="76">
        <v>2020.35</v>
      </c>
      <c r="P724" s="76"/>
      <c r="Q724" s="76">
        <v>38.32</v>
      </c>
      <c r="R724" s="76"/>
      <c r="S724" s="76">
        <v>141.37</v>
      </c>
      <c r="T724" s="76"/>
      <c r="U724" s="76">
        <v>0</v>
      </c>
      <c r="V724" s="76"/>
      <c r="W724" s="76">
        <v>0</v>
      </c>
      <c r="X724" s="76"/>
      <c r="Y724" s="76">
        <v>0</v>
      </c>
      <c r="Z724" s="76"/>
      <c r="AA724" s="76">
        <v>0</v>
      </c>
      <c r="AB724" s="76"/>
      <c r="AC724" s="76">
        <v>0</v>
      </c>
      <c r="AD724" s="76"/>
      <c r="AE724" s="76">
        <v>0</v>
      </c>
      <c r="AF724" s="76"/>
      <c r="AG724" s="76">
        <v>0</v>
      </c>
      <c r="AH724"/>
      <c r="AI724" s="76">
        <f t="shared" si="10"/>
        <v>25981.19</v>
      </c>
      <c r="AJ724" s="10"/>
    </row>
  </sheetData>
  <sortState ref="A9:AM703">
    <sortCondition ref="A9:A703"/>
    <sortCondition ref="C9:C703"/>
  </sortState>
  <phoneticPr fontId="1" type="noConversion"/>
  <pageMargins left="0.75" right="0.5" top="0.5" bottom="0.5" header="0" footer="0.3"/>
  <pageSetup scale="80" firstPageNumber="8" fitToWidth="2" fitToHeight="20" pageOrder="overThenDown" orientation="portrait" useFirstPageNumber="1" horizontalDpi="300" verticalDpi="300" r:id="rId1"/>
  <headerFooter scaleWithDoc="0" alignWithMargins="0">
    <oddFooter>&amp;C&amp;P</oddFooter>
  </headerFooter>
  <rowBreaks count="9" manualBreakCount="9">
    <brk id="81" max="34" man="1"/>
    <brk id="158" max="34" man="1"/>
    <brk id="236" max="34" man="1"/>
    <brk id="310" max="34" man="1"/>
    <brk id="384" max="34" man="1"/>
    <brk id="458" max="34" man="1"/>
    <brk id="532" max="34" man="1"/>
    <brk id="606" max="34" man="1"/>
    <brk id="679" max="34" man="1"/>
  </rowBreaks>
  <colBreaks count="1" manualBreakCount="1">
    <brk id="18" max="6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3"/>
  <sheetViews>
    <sheetView view="pageBreakPreview" zoomScale="85" zoomScaleNormal="100" zoomScaleSheetLayoutView="85" workbookViewId="0">
      <pane xSplit="4" ySplit="7" topLeftCell="E698" activePane="bottomRight" state="frozen"/>
      <selection pane="topRight" activeCell="E1" sqref="E1"/>
      <selection pane="bottomLeft" activeCell="A8" sqref="A8"/>
      <selection pane="bottomRight" activeCell="A3" sqref="A3:XFD5"/>
    </sheetView>
  </sheetViews>
  <sheetFormatPr defaultColWidth="9.33203125" defaultRowHeight="12" x14ac:dyDescent="0.2"/>
  <cols>
    <col min="1" max="1" width="20.83203125" style="1" customWidth="1"/>
    <col min="2" max="2" width="1.83203125" style="1" customWidth="1"/>
    <col min="3" max="3" width="14.33203125" style="1" customWidth="1"/>
    <col min="4" max="4" width="1.83203125" style="1" customWidth="1"/>
    <col min="5" max="5" width="12.6640625" style="10" customWidth="1"/>
    <col min="6" max="6" width="1.83203125" style="10" customWidth="1"/>
    <col min="7" max="7" width="12.6640625" style="10" bestFit="1" customWidth="1"/>
    <col min="8" max="8" width="1.83203125" style="10" customWidth="1"/>
    <col min="9" max="9" width="11.83203125" style="10" customWidth="1"/>
    <col min="10" max="10" width="1.83203125" style="10" customWidth="1"/>
    <col min="11" max="11" width="13.1640625" style="10" bestFit="1" customWidth="1"/>
    <col min="12" max="12" width="1.83203125" style="10" customWidth="1"/>
    <col min="13" max="13" width="11.83203125" style="10" customWidth="1"/>
    <col min="14" max="14" width="1.83203125" style="10" customWidth="1"/>
    <col min="15" max="15" width="13.5" style="10" customWidth="1"/>
    <col min="16" max="16" width="1.83203125" style="10" hidden="1" customWidth="1"/>
    <col min="17" max="17" width="15.83203125" style="10" customWidth="1"/>
    <col min="18" max="18" width="1.83203125" style="10" customWidth="1"/>
    <col min="19" max="19" width="12.1640625" style="10" customWidth="1"/>
    <col min="20" max="20" width="1.83203125" style="10" customWidth="1"/>
    <col min="21" max="21" width="11.83203125" style="10" customWidth="1"/>
    <col min="22" max="22" width="1.83203125" style="10" customWidth="1"/>
    <col min="23" max="23" width="13" style="10" customWidth="1"/>
    <col min="24" max="24" width="1.83203125" style="10" customWidth="1"/>
    <col min="25" max="25" width="14.33203125" style="10" customWidth="1"/>
    <col min="26" max="26" width="1.83203125" style="10" customWidth="1"/>
    <col min="27" max="27" width="14.33203125" style="10" customWidth="1"/>
    <col min="28" max="28" width="1.83203125" style="10" customWidth="1"/>
    <col min="29" max="29" width="12.33203125" style="10" customWidth="1"/>
    <col min="30" max="30" width="1.83203125" style="10" customWidth="1"/>
    <col min="31" max="31" width="14.5" style="1" customWidth="1"/>
    <col min="32" max="32" width="1.83203125" style="1" customWidth="1"/>
    <col min="33" max="33" width="16.6640625" style="10" customWidth="1"/>
    <col min="34" max="34" width="1.83203125" style="10" customWidth="1"/>
    <col min="35" max="35" width="12.83203125" style="10" bestFit="1" customWidth="1"/>
    <col min="36" max="36" width="1.83203125" style="10" customWidth="1"/>
    <col min="37" max="37" width="10.83203125" style="10" bestFit="1" customWidth="1"/>
    <col min="38" max="38" width="13.1640625" style="10" bestFit="1" customWidth="1"/>
    <col min="39" max="39" width="14" style="10" customWidth="1"/>
    <col min="40" max="40" width="23.33203125" style="1" bestFit="1" customWidth="1"/>
    <col min="41" max="16384" width="9.33203125" style="1"/>
  </cols>
  <sheetData>
    <row r="1" spans="1:41" ht="12.6" customHeight="1" x14ac:dyDescent="0.2">
      <c r="A1" s="2" t="s">
        <v>615</v>
      </c>
      <c r="B1" s="2"/>
      <c r="C1" s="2"/>
      <c r="D1" s="2"/>
      <c r="AG1" s="10" t="s">
        <v>873</v>
      </c>
    </row>
    <row r="2" spans="1:41" ht="12.6" customHeight="1" x14ac:dyDescent="0.2">
      <c r="A2" s="2" t="s">
        <v>849</v>
      </c>
      <c r="B2" s="2"/>
      <c r="C2" s="2"/>
      <c r="D2" s="2"/>
      <c r="AG2" s="10" t="s">
        <v>874</v>
      </c>
    </row>
    <row r="3" spans="1:41" ht="12.6" customHeight="1" x14ac:dyDescent="0.2">
      <c r="A3" s="2" t="s">
        <v>953</v>
      </c>
      <c r="B3" s="2"/>
      <c r="C3" s="2"/>
      <c r="D3" s="2"/>
      <c r="AG3" s="10" t="s">
        <v>875</v>
      </c>
    </row>
    <row r="4" spans="1:41" ht="12.6" customHeight="1" x14ac:dyDescent="0.2">
      <c r="A4" s="15" t="s">
        <v>850</v>
      </c>
    </row>
    <row r="5" spans="1:41" s="9" customFormat="1" ht="12.6" customHeight="1" x14ac:dyDescent="0.2">
      <c r="A5" s="2"/>
      <c r="B5" s="2"/>
      <c r="C5" s="2"/>
      <c r="D5" s="2"/>
      <c r="E5" s="12" t="s">
        <v>638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 t="s">
        <v>654</v>
      </c>
      <c r="X5" s="12"/>
      <c r="Y5" s="11"/>
      <c r="Z5" s="11"/>
      <c r="AA5" s="11"/>
      <c r="AB5" s="11"/>
      <c r="AC5" s="16" t="s">
        <v>635</v>
      </c>
      <c r="AD5" s="16"/>
      <c r="AE5" s="8"/>
      <c r="AF5" s="8"/>
      <c r="AG5" s="45" t="s">
        <v>866</v>
      </c>
      <c r="AH5" s="45"/>
      <c r="AI5" s="45" t="s">
        <v>868</v>
      </c>
      <c r="AJ5" s="45"/>
      <c r="AK5" s="45" t="s">
        <v>871</v>
      </c>
      <c r="AL5" s="45"/>
      <c r="AM5" s="50"/>
    </row>
    <row r="6" spans="1:41" s="9" customFormat="1" ht="12.6" customHeight="1" x14ac:dyDescent="0.2">
      <c r="A6" s="2"/>
      <c r="B6" s="2"/>
      <c r="C6" s="2"/>
      <c r="D6" s="2"/>
      <c r="E6" s="12" t="s">
        <v>639</v>
      </c>
      <c r="F6" s="12"/>
      <c r="G6" s="12" t="s">
        <v>641</v>
      </c>
      <c r="H6" s="12"/>
      <c r="I6" s="12" t="s">
        <v>643</v>
      </c>
      <c r="J6" s="12"/>
      <c r="K6" s="12" t="s">
        <v>645</v>
      </c>
      <c r="L6" s="12"/>
      <c r="M6" s="12" t="s">
        <v>647</v>
      </c>
      <c r="N6" s="12"/>
      <c r="O6" s="11"/>
      <c r="P6" s="11"/>
      <c r="Q6" s="12" t="s">
        <v>648</v>
      </c>
      <c r="R6" s="12"/>
      <c r="S6" s="12" t="s">
        <v>650</v>
      </c>
      <c r="T6" s="12"/>
      <c r="U6" s="12" t="s">
        <v>652</v>
      </c>
      <c r="V6" s="12"/>
      <c r="W6" s="12" t="s">
        <v>655</v>
      </c>
      <c r="X6" s="12"/>
      <c r="Y6" s="14"/>
      <c r="Z6" s="14"/>
      <c r="AA6" s="11"/>
      <c r="AB6" s="11"/>
      <c r="AC6" s="16" t="s">
        <v>636</v>
      </c>
      <c r="AD6" s="16"/>
      <c r="AE6" s="8"/>
      <c r="AF6" s="8"/>
      <c r="AG6" s="45" t="s">
        <v>824</v>
      </c>
      <c r="AH6" s="45"/>
      <c r="AI6" s="45" t="s">
        <v>869</v>
      </c>
      <c r="AJ6" s="45"/>
      <c r="AK6" s="45" t="s">
        <v>872</v>
      </c>
      <c r="AL6" s="45"/>
      <c r="AM6" s="50"/>
    </row>
    <row r="7" spans="1:41" s="6" customFormat="1" ht="12.6" customHeight="1" x14ac:dyDescent="0.2">
      <c r="A7" s="5" t="s">
        <v>726</v>
      </c>
      <c r="C7" s="5" t="s">
        <v>727</v>
      </c>
      <c r="E7" s="13" t="s">
        <v>640</v>
      </c>
      <c r="F7" s="14"/>
      <c r="G7" s="13" t="s">
        <v>642</v>
      </c>
      <c r="H7" s="14"/>
      <c r="I7" s="13" t="s">
        <v>644</v>
      </c>
      <c r="J7" s="14"/>
      <c r="K7" s="13" t="s">
        <v>856</v>
      </c>
      <c r="L7" s="14"/>
      <c r="M7" s="13" t="s">
        <v>626</v>
      </c>
      <c r="N7" s="14"/>
      <c r="O7" s="20" t="s">
        <v>612</v>
      </c>
      <c r="P7" s="45"/>
      <c r="Q7" s="13" t="s">
        <v>855</v>
      </c>
      <c r="R7" s="14"/>
      <c r="S7" s="13" t="s">
        <v>651</v>
      </c>
      <c r="T7" s="14"/>
      <c r="U7" s="13" t="s">
        <v>653</v>
      </c>
      <c r="V7" s="14"/>
      <c r="W7" s="13" t="s">
        <v>656</v>
      </c>
      <c r="X7" s="14"/>
      <c r="Y7" s="13" t="s">
        <v>614</v>
      </c>
      <c r="Z7" s="14"/>
      <c r="AA7" s="13" t="s">
        <v>657</v>
      </c>
      <c r="AB7" s="14"/>
      <c r="AC7" s="18" t="s">
        <v>658</v>
      </c>
      <c r="AD7" s="26"/>
      <c r="AE7" s="5" t="s">
        <v>815</v>
      </c>
      <c r="AG7" s="13"/>
      <c r="AH7" s="14"/>
      <c r="AI7" s="13" t="s">
        <v>870</v>
      </c>
      <c r="AJ7" s="14"/>
      <c r="AK7" s="13" t="s">
        <v>865</v>
      </c>
      <c r="AL7" s="13" t="s">
        <v>864</v>
      </c>
      <c r="AM7" s="14"/>
    </row>
    <row r="8" spans="1:41" s="6" customFormat="1" ht="12" customHeight="1" x14ac:dyDescent="0.2">
      <c r="E8" s="14"/>
      <c r="F8" s="14"/>
      <c r="G8" s="14"/>
      <c r="H8" s="14"/>
      <c r="I8" s="14"/>
      <c r="J8" s="14"/>
      <c r="K8" s="14"/>
      <c r="L8" s="14"/>
      <c r="M8" s="14"/>
      <c r="N8" s="14"/>
      <c r="O8" s="45"/>
      <c r="P8" s="45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6"/>
      <c r="AD8" s="26"/>
      <c r="AE8" s="86"/>
      <c r="AG8" s="14"/>
      <c r="AH8" s="14"/>
      <c r="AI8" s="14"/>
      <c r="AJ8" s="14"/>
      <c r="AK8" s="14"/>
      <c r="AL8" s="24"/>
      <c r="AM8" s="41"/>
      <c r="AN8" s="21"/>
      <c r="AO8" s="21"/>
    </row>
    <row r="9" spans="1:41" s="21" customFormat="1" ht="12" customHeight="1" x14ac:dyDescent="0.2">
      <c r="A9" s="1" t="s">
        <v>282</v>
      </c>
      <c r="B9" s="1"/>
      <c r="C9" s="1" t="s">
        <v>283</v>
      </c>
      <c r="D9" s="1"/>
      <c r="E9" s="88">
        <v>254735.29</v>
      </c>
      <c r="F9" s="76"/>
      <c r="G9" s="88">
        <v>0</v>
      </c>
      <c r="H9" s="88"/>
      <c r="I9" s="88">
        <v>3589.74</v>
      </c>
      <c r="J9" s="88"/>
      <c r="K9" s="88">
        <v>0</v>
      </c>
      <c r="L9" s="88"/>
      <c r="M9" s="88">
        <v>116049.60000000001</v>
      </c>
      <c r="N9" s="88"/>
      <c r="O9" s="88">
        <v>0</v>
      </c>
      <c r="P9" s="88"/>
      <c r="Q9" s="88">
        <v>83907.199999999997</v>
      </c>
      <c r="R9" s="88"/>
      <c r="S9" s="88">
        <v>0</v>
      </c>
      <c r="T9" s="88"/>
      <c r="U9" s="88">
        <v>0</v>
      </c>
      <c r="V9" s="88"/>
      <c r="W9" s="88">
        <v>0</v>
      </c>
      <c r="X9" s="88"/>
      <c r="Y9" s="88">
        <v>0</v>
      </c>
      <c r="Z9" s="88"/>
      <c r="AA9" s="88">
        <v>0</v>
      </c>
      <c r="AB9" s="88"/>
      <c r="AC9" s="88">
        <v>0</v>
      </c>
      <c r="AD9" s="88"/>
      <c r="AE9" s="88">
        <f t="shared" ref="AE9:AE40" si="0">SUM(E9:AC9)</f>
        <v>458281.83</v>
      </c>
      <c r="AF9" s="76"/>
      <c r="AG9" s="76">
        <v>3465.79</v>
      </c>
      <c r="AH9" s="76"/>
      <c r="AI9" s="76">
        <v>47273.22</v>
      </c>
      <c r="AJ9" s="76"/>
      <c r="AK9" s="76">
        <v>50739.01</v>
      </c>
      <c r="AL9" s="24">
        <f>+'Gen Rev'!AI9-'Gen Exp'!AE9+'Gen Exp'!AI9-AK9</f>
        <v>-8.0035533756017685E-11</v>
      </c>
      <c r="AM9" s="41" t="str">
        <f>'Gen Rev'!A9</f>
        <v>Aberdeen</v>
      </c>
      <c r="AN9" s="21" t="str">
        <f t="shared" ref="AN9:AN40" si="1">A9</f>
        <v>Aberdeen</v>
      </c>
      <c r="AO9" s="21" t="b">
        <f t="shared" ref="AO9:AO40" si="2">AM9=AN9</f>
        <v>1</v>
      </c>
    </row>
    <row r="10" spans="1:41" s="36" customFormat="1" ht="12" customHeight="1" x14ac:dyDescent="0.2">
      <c r="A10" s="36" t="s">
        <v>395</v>
      </c>
      <c r="C10" s="36" t="s">
        <v>396</v>
      </c>
      <c r="E10" s="76">
        <v>270329</v>
      </c>
      <c r="F10" s="76"/>
      <c r="G10" s="76">
        <v>22614</v>
      </c>
      <c r="H10" s="76"/>
      <c r="I10" s="76">
        <v>7622</v>
      </c>
      <c r="J10" s="76"/>
      <c r="K10" s="76">
        <v>19842</v>
      </c>
      <c r="L10" s="76"/>
      <c r="M10" s="76">
        <v>0</v>
      </c>
      <c r="N10" s="76"/>
      <c r="O10" s="76">
        <v>213977</v>
      </c>
      <c r="P10" s="76"/>
      <c r="Q10" s="76">
        <v>215084</v>
      </c>
      <c r="R10" s="76"/>
      <c r="S10" s="76">
        <v>0</v>
      </c>
      <c r="T10" s="76"/>
      <c r="U10" s="76">
        <v>90138</v>
      </c>
      <c r="V10" s="76"/>
      <c r="W10" s="76">
        <v>0</v>
      </c>
      <c r="X10" s="76"/>
      <c r="Y10" s="76">
        <v>0</v>
      </c>
      <c r="Z10" s="76"/>
      <c r="AA10" s="76">
        <v>0</v>
      </c>
      <c r="AB10" s="76"/>
      <c r="AC10" s="76">
        <f>913270-1</f>
        <v>913269</v>
      </c>
      <c r="AD10" s="76"/>
      <c r="AE10" s="76">
        <f t="shared" si="0"/>
        <v>1752875</v>
      </c>
      <c r="AF10" s="76"/>
      <c r="AG10" s="76">
        <v>362351</v>
      </c>
      <c r="AH10" s="76"/>
      <c r="AI10" s="76">
        <v>59792</v>
      </c>
      <c r="AJ10" s="76"/>
      <c r="AK10" s="76">
        <v>422143</v>
      </c>
      <c r="AL10" s="24">
        <f>+'Gen Rev'!AI10-'Gen Exp'!AE10+'Gen Exp'!AI10-AK10</f>
        <v>0</v>
      </c>
      <c r="AM10" s="41" t="str">
        <f>'Gen Rev'!A10</f>
        <v>Ada</v>
      </c>
      <c r="AN10" s="21" t="str">
        <f t="shared" si="1"/>
        <v>Ada</v>
      </c>
      <c r="AO10" s="21" t="b">
        <f t="shared" si="2"/>
        <v>1</v>
      </c>
    </row>
    <row r="11" spans="1:41" s="31" customFormat="1" ht="12" customHeight="1" x14ac:dyDescent="0.2">
      <c r="A11" s="15" t="s">
        <v>483</v>
      </c>
      <c r="B11" s="15"/>
      <c r="C11" s="15" t="s">
        <v>484</v>
      </c>
      <c r="D11" s="15"/>
      <c r="E11" s="76">
        <v>800</v>
      </c>
      <c r="F11" s="76"/>
      <c r="G11" s="76">
        <v>0</v>
      </c>
      <c r="H11" s="76"/>
      <c r="I11" s="76">
        <v>0</v>
      </c>
      <c r="J11" s="76"/>
      <c r="K11" s="76">
        <v>100</v>
      </c>
      <c r="L11" s="76"/>
      <c r="M11" s="76">
        <v>2700</v>
      </c>
      <c r="N11" s="76"/>
      <c r="O11" s="76">
        <v>2000</v>
      </c>
      <c r="P11" s="76"/>
      <c r="Q11" s="76">
        <v>6593</v>
      </c>
      <c r="R11" s="76"/>
      <c r="S11" s="76">
        <v>0</v>
      </c>
      <c r="T11" s="76"/>
      <c r="U11" s="76">
        <v>0</v>
      </c>
      <c r="V11" s="76"/>
      <c r="W11" s="76">
        <v>0</v>
      </c>
      <c r="X11" s="76"/>
      <c r="Y11" s="76">
        <v>0</v>
      </c>
      <c r="Z11" s="76"/>
      <c r="AA11" s="76">
        <v>0</v>
      </c>
      <c r="AB11" s="76"/>
      <c r="AC11" s="76">
        <v>0</v>
      </c>
      <c r="AD11" s="76"/>
      <c r="AE11" s="76">
        <f t="shared" si="0"/>
        <v>12193</v>
      </c>
      <c r="AF11" s="76"/>
      <c r="AG11" s="76">
        <v>5353</v>
      </c>
      <c r="AH11" s="76"/>
      <c r="AI11" s="76">
        <v>6744</v>
      </c>
      <c r="AJ11" s="76"/>
      <c r="AK11" s="76">
        <v>12097</v>
      </c>
      <c r="AL11" s="24">
        <f>+'Gen Rev'!AI11-'Gen Exp'!AE11+'Gen Exp'!AI11-AK11</f>
        <v>0</v>
      </c>
      <c r="AM11" s="41" t="str">
        <f>'Gen Rev'!A11</f>
        <v>Adamsville</v>
      </c>
      <c r="AN11" s="21" t="str">
        <f t="shared" si="1"/>
        <v>Adamsville</v>
      </c>
      <c r="AO11" s="21" t="b">
        <f t="shared" si="2"/>
        <v>1</v>
      </c>
    </row>
    <row r="12" spans="1:41" s="21" customFormat="1" ht="12" customHeight="1" x14ac:dyDescent="0.2">
      <c r="A12" s="1" t="s">
        <v>91</v>
      </c>
      <c r="B12" s="1"/>
      <c r="C12" s="1" t="s">
        <v>763</v>
      </c>
      <c r="D12" s="23"/>
      <c r="E12" s="76">
        <v>268505.09999999998</v>
      </c>
      <c r="F12" s="76"/>
      <c r="G12" s="76">
        <v>0</v>
      </c>
      <c r="H12" s="76"/>
      <c r="I12" s="76">
        <v>14710.32</v>
      </c>
      <c r="J12" s="76"/>
      <c r="K12" s="76">
        <v>0</v>
      </c>
      <c r="L12" s="76"/>
      <c r="M12" s="76">
        <v>11769.79</v>
      </c>
      <c r="N12" s="76"/>
      <c r="O12" s="76">
        <v>102222.04</v>
      </c>
      <c r="P12" s="76"/>
      <c r="Q12" s="76">
        <v>219015.16</v>
      </c>
      <c r="R12" s="76"/>
      <c r="S12" s="76">
        <v>0</v>
      </c>
      <c r="T12" s="76"/>
      <c r="U12" s="76">
        <v>13101.18</v>
      </c>
      <c r="V12" s="76"/>
      <c r="W12" s="76">
        <v>1345</v>
      </c>
      <c r="X12" s="76"/>
      <c r="Y12" s="76">
        <v>0</v>
      </c>
      <c r="Z12" s="76"/>
      <c r="AA12" s="76">
        <v>0</v>
      </c>
      <c r="AB12" s="76"/>
      <c r="AC12" s="76">
        <v>51289.11</v>
      </c>
      <c r="AD12" s="76"/>
      <c r="AE12" s="76">
        <f t="shared" si="0"/>
        <v>681957.7</v>
      </c>
      <c r="AF12" s="76"/>
      <c r="AG12" s="76">
        <v>-2343.71</v>
      </c>
      <c r="AH12" s="76"/>
      <c r="AI12" s="76">
        <v>3305.11</v>
      </c>
      <c r="AJ12" s="76"/>
      <c r="AK12" s="76">
        <v>961.4</v>
      </c>
      <c r="AL12" s="24">
        <f>+'Gen Rev'!AI12-'Gen Exp'!AE12+'Gen Exp'!AI12-AK12</f>
        <v>3.7402969610411674E-11</v>
      </c>
      <c r="AM12" s="41" t="str">
        <f>'Gen Rev'!A12</f>
        <v>Addyston</v>
      </c>
      <c r="AN12" s="21" t="str">
        <f t="shared" si="1"/>
        <v>Addyston</v>
      </c>
      <c r="AO12" s="21" t="b">
        <f t="shared" si="2"/>
        <v>1</v>
      </c>
    </row>
    <row r="13" spans="1:41" s="21" customFormat="1" ht="12" customHeight="1" x14ac:dyDescent="0.2">
      <c r="A13" s="1" t="s">
        <v>210</v>
      </c>
      <c r="B13" s="1"/>
      <c r="C13" s="1" t="s">
        <v>799</v>
      </c>
      <c r="D13" s="23"/>
      <c r="E13" s="76">
        <v>14685.12</v>
      </c>
      <c r="F13" s="76"/>
      <c r="G13" s="76">
        <v>0</v>
      </c>
      <c r="H13" s="76"/>
      <c r="I13" s="76">
        <v>0</v>
      </c>
      <c r="J13" s="76"/>
      <c r="K13" s="76">
        <v>0</v>
      </c>
      <c r="L13" s="76"/>
      <c r="M13" s="76">
        <v>0</v>
      </c>
      <c r="N13" s="76"/>
      <c r="O13" s="76">
        <v>0</v>
      </c>
      <c r="P13" s="76"/>
      <c r="Q13" s="76">
        <v>46184.65</v>
      </c>
      <c r="R13" s="76"/>
      <c r="S13" s="76">
        <v>0</v>
      </c>
      <c r="T13" s="76"/>
      <c r="U13" s="76">
        <v>0</v>
      </c>
      <c r="V13" s="76"/>
      <c r="W13" s="76">
        <v>0</v>
      </c>
      <c r="X13" s="76"/>
      <c r="Y13" s="76">
        <v>0</v>
      </c>
      <c r="Z13" s="76"/>
      <c r="AA13" s="76">
        <v>0</v>
      </c>
      <c r="AB13" s="76"/>
      <c r="AC13" s="76">
        <v>0</v>
      </c>
      <c r="AD13" s="76"/>
      <c r="AE13" s="76">
        <f t="shared" si="0"/>
        <v>60869.770000000004</v>
      </c>
      <c r="AF13" s="76"/>
      <c r="AG13" s="76">
        <v>5084.87</v>
      </c>
      <c r="AH13" s="76"/>
      <c r="AI13" s="76">
        <v>17403.59</v>
      </c>
      <c r="AJ13" s="76"/>
      <c r="AK13" s="76">
        <v>22488.46</v>
      </c>
      <c r="AL13" s="24">
        <f>+'Gen Rev'!AI13-'Gen Exp'!AE13+'Gen Exp'!AI13-AK13</f>
        <v>0</v>
      </c>
      <c r="AM13" s="41" t="str">
        <f>'Gen Rev'!A13</f>
        <v>Adelphi</v>
      </c>
      <c r="AN13" s="21" t="str">
        <f t="shared" si="1"/>
        <v>Adelphi</v>
      </c>
      <c r="AO13" s="21" t="b">
        <f t="shared" si="2"/>
        <v>1</v>
      </c>
    </row>
    <row r="14" spans="1:41" ht="12" customHeight="1" x14ac:dyDescent="0.2">
      <c r="A14" s="1" t="s">
        <v>876</v>
      </c>
      <c r="C14" s="1" t="s">
        <v>420</v>
      </c>
      <c r="D14" s="23"/>
      <c r="E14" s="76">
        <v>15700</v>
      </c>
      <c r="F14" s="76"/>
      <c r="G14" s="76">
        <v>59</v>
      </c>
      <c r="H14" s="76"/>
      <c r="I14" s="76">
        <v>0</v>
      </c>
      <c r="J14" s="76"/>
      <c r="K14" s="76">
        <v>0</v>
      </c>
      <c r="L14" s="76"/>
      <c r="M14" s="76">
        <v>0</v>
      </c>
      <c r="N14" s="76"/>
      <c r="O14" s="76">
        <v>0</v>
      </c>
      <c r="P14" s="76"/>
      <c r="Q14" s="76">
        <v>83452</v>
      </c>
      <c r="R14" s="76"/>
      <c r="S14" s="76">
        <v>0</v>
      </c>
      <c r="T14" s="76"/>
      <c r="U14" s="76">
        <v>0</v>
      </c>
      <c r="V14" s="76"/>
      <c r="W14" s="76">
        <v>0</v>
      </c>
      <c r="X14" s="76"/>
      <c r="Y14" s="76">
        <v>0</v>
      </c>
      <c r="Z14" s="76"/>
      <c r="AA14" s="76">
        <v>0</v>
      </c>
      <c r="AB14" s="76"/>
      <c r="AC14" s="76">
        <v>0</v>
      </c>
      <c r="AD14" s="76"/>
      <c r="AE14" s="76">
        <f t="shared" si="0"/>
        <v>99211</v>
      </c>
      <c r="AF14" s="76"/>
      <c r="AG14" s="76">
        <v>-17361</v>
      </c>
      <c r="AH14" s="76"/>
      <c r="AI14" s="76">
        <v>35091</v>
      </c>
      <c r="AJ14" s="76"/>
      <c r="AK14" s="76">
        <v>17730</v>
      </c>
      <c r="AL14" s="24">
        <f>+'Gen Rev'!AI14-'Gen Exp'!AE14+'Gen Exp'!AI14-AK14</f>
        <v>0</v>
      </c>
      <c r="AM14" s="41" t="str">
        <f>'Gen Rev'!A14</f>
        <v>Adena</v>
      </c>
      <c r="AN14" s="21" t="str">
        <f t="shared" si="1"/>
        <v>Adena</v>
      </c>
      <c r="AO14" s="21" t="b">
        <f t="shared" si="2"/>
        <v>1</v>
      </c>
    </row>
    <row r="15" spans="1:41" s="21" customFormat="1" ht="12" customHeight="1" x14ac:dyDescent="0.2">
      <c r="A15" s="1" t="s">
        <v>270</v>
      </c>
      <c r="B15" s="1"/>
      <c r="C15" s="1" t="s">
        <v>271</v>
      </c>
      <c r="D15" s="1"/>
      <c r="E15" s="76">
        <v>9833.25</v>
      </c>
      <c r="F15" s="76"/>
      <c r="G15" s="76">
        <v>0</v>
      </c>
      <c r="H15" s="76"/>
      <c r="I15" s="76">
        <v>0</v>
      </c>
      <c r="J15" s="76"/>
      <c r="K15" s="76">
        <v>0</v>
      </c>
      <c r="L15" s="76"/>
      <c r="M15" s="76">
        <v>5027.17</v>
      </c>
      <c r="N15" s="76"/>
      <c r="O15" s="76">
        <v>0</v>
      </c>
      <c r="P15" s="76"/>
      <c r="Q15" s="76">
        <v>82885.73</v>
      </c>
      <c r="R15" s="76"/>
      <c r="S15" s="76">
        <v>0</v>
      </c>
      <c r="T15" s="76"/>
      <c r="U15" s="76">
        <v>0</v>
      </c>
      <c r="V15" s="76"/>
      <c r="W15" s="76">
        <v>0</v>
      </c>
      <c r="X15" s="76"/>
      <c r="Y15" s="76">
        <v>12502.36</v>
      </c>
      <c r="Z15" s="76"/>
      <c r="AA15" s="76">
        <v>5000</v>
      </c>
      <c r="AB15" s="76"/>
      <c r="AC15" s="76">
        <v>0</v>
      </c>
      <c r="AD15" s="76"/>
      <c r="AE15" s="76">
        <f t="shared" si="0"/>
        <v>115248.51</v>
      </c>
      <c r="AF15" s="76"/>
      <c r="AG15" s="76">
        <v>-44890.28</v>
      </c>
      <c r="AH15" s="76"/>
      <c r="AI15" s="76">
        <v>149003.43</v>
      </c>
      <c r="AJ15" s="76"/>
      <c r="AK15" s="76">
        <v>104113.15</v>
      </c>
      <c r="AL15" s="24">
        <f>+'Gen Rev'!AI15-'Gen Exp'!AE15+'Gen Exp'!AI15-AK15</f>
        <v>0</v>
      </c>
      <c r="AM15" s="41" t="str">
        <f>'Gen Rev'!A15</f>
        <v>Albany</v>
      </c>
      <c r="AN15" s="21" t="str">
        <f t="shared" si="1"/>
        <v>Albany</v>
      </c>
      <c r="AO15" s="21" t="b">
        <f t="shared" si="2"/>
        <v>1</v>
      </c>
    </row>
    <row r="16" spans="1:41" ht="12" customHeight="1" x14ac:dyDescent="0.2">
      <c r="A16" s="1" t="s">
        <v>129</v>
      </c>
      <c r="C16" s="1" t="s">
        <v>774</v>
      </c>
      <c r="D16" s="23"/>
      <c r="E16" s="76">
        <v>12735.08</v>
      </c>
      <c r="F16" s="76"/>
      <c r="G16" s="76">
        <v>0</v>
      </c>
      <c r="H16" s="76"/>
      <c r="I16" s="76">
        <v>0</v>
      </c>
      <c r="J16" s="76"/>
      <c r="K16" s="76">
        <v>485.37</v>
      </c>
      <c r="L16" s="76"/>
      <c r="M16" s="76">
        <v>0</v>
      </c>
      <c r="N16" s="76"/>
      <c r="O16" s="76">
        <v>0</v>
      </c>
      <c r="P16" s="76"/>
      <c r="Q16" s="76">
        <v>69594.2</v>
      </c>
      <c r="R16" s="76"/>
      <c r="S16" s="76">
        <v>1741</v>
      </c>
      <c r="T16" s="76"/>
      <c r="U16" s="76">
        <v>2972.51</v>
      </c>
      <c r="V16" s="76"/>
      <c r="W16" s="76">
        <v>1939.93</v>
      </c>
      <c r="X16" s="76"/>
      <c r="Y16" s="76">
        <v>0</v>
      </c>
      <c r="Z16" s="76"/>
      <c r="AA16" s="76">
        <v>0</v>
      </c>
      <c r="AB16" s="76"/>
      <c r="AC16" s="76">
        <v>0</v>
      </c>
      <c r="AD16" s="76"/>
      <c r="AE16" s="76">
        <f t="shared" si="0"/>
        <v>89468.089999999982</v>
      </c>
      <c r="AF16" s="76"/>
      <c r="AG16" s="76">
        <v>-9162.61</v>
      </c>
      <c r="AH16" s="76"/>
      <c r="AI16" s="76">
        <v>25854.09</v>
      </c>
      <c r="AJ16" s="76"/>
      <c r="AK16" s="76">
        <v>16691.48</v>
      </c>
      <c r="AL16" s="24">
        <f>+'Gen Rev'!AI16-'Gen Exp'!AE16+'Gen Exp'!AI16-AK16</f>
        <v>2.9103830456733704E-11</v>
      </c>
      <c r="AM16" s="41" t="str">
        <f>'Gen Rev'!A16</f>
        <v>Alexandria</v>
      </c>
      <c r="AN16" s="21" t="str">
        <f t="shared" si="1"/>
        <v>Alexandria</v>
      </c>
      <c r="AO16" s="21" t="b">
        <f t="shared" si="2"/>
        <v>1</v>
      </c>
    </row>
    <row r="17" spans="1:41" s="21" customFormat="1" ht="12" customHeight="1" x14ac:dyDescent="0.2">
      <c r="A17" s="1" t="s">
        <v>704</v>
      </c>
      <c r="B17" s="1"/>
      <c r="C17" s="1" t="s">
        <v>396</v>
      </c>
      <c r="D17" s="1"/>
      <c r="E17" s="76">
        <v>0</v>
      </c>
      <c r="F17" s="76"/>
      <c r="G17" s="76">
        <v>3130</v>
      </c>
      <c r="H17" s="76"/>
      <c r="I17" s="76">
        <v>4375.6400000000003</v>
      </c>
      <c r="J17" s="76"/>
      <c r="K17" s="76">
        <v>0</v>
      </c>
      <c r="L17" s="76"/>
      <c r="M17" s="76">
        <v>0</v>
      </c>
      <c r="N17" s="76"/>
      <c r="O17" s="76">
        <v>0</v>
      </c>
      <c r="P17" s="76"/>
      <c r="Q17" s="76">
        <v>73722.22</v>
      </c>
      <c r="R17" s="76"/>
      <c r="S17" s="76">
        <v>0</v>
      </c>
      <c r="T17" s="76"/>
      <c r="U17" s="76">
        <v>0</v>
      </c>
      <c r="V17" s="76"/>
      <c r="W17" s="76">
        <v>0</v>
      </c>
      <c r="X17" s="76"/>
      <c r="Y17" s="76">
        <v>0</v>
      </c>
      <c r="Z17" s="76"/>
      <c r="AA17" s="76">
        <v>0</v>
      </c>
      <c r="AB17" s="76"/>
      <c r="AC17" s="76">
        <v>0</v>
      </c>
      <c r="AD17" s="76"/>
      <c r="AE17" s="76">
        <f t="shared" si="0"/>
        <v>81227.86</v>
      </c>
      <c r="AF17" s="76"/>
      <c r="AG17" s="76">
        <v>17453.36</v>
      </c>
      <c r="AH17" s="76"/>
      <c r="AI17" s="76">
        <v>69024.33</v>
      </c>
      <c r="AJ17" s="76"/>
      <c r="AK17" s="76">
        <v>86477.69</v>
      </c>
      <c r="AL17" s="24">
        <f>+'Gen Rev'!AI17-'Gen Exp'!AE17+'Gen Exp'!AI17-AK17</f>
        <v>0</v>
      </c>
      <c r="AM17" s="41" t="str">
        <f>'Gen Rev'!A17</f>
        <v>Alger</v>
      </c>
      <c r="AN17" s="21" t="str">
        <f t="shared" si="1"/>
        <v>Alger</v>
      </c>
      <c r="AO17" s="21" t="b">
        <f t="shared" si="2"/>
        <v>1</v>
      </c>
    </row>
    <row r="18" spans="1:41" ht="12" hidden="1" customHeight="1" x14ac:dyDescent="0.2">
      <c r="A18" s="1" t="s">
        <v>251</v>
      </c>
      <c r="C18" s="1" t="s">
        <v>596</v>
      </c>
      <c r="D18" s="2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>
        <f t="shared" si="0"/>
        <v>0</v>
      </c>
      <c r="AF18" s="76"/>
      <c r="AG18" s="76"/>
      <c r="AH18" s="76"/>
      <c r="AI18" s="76"/>
      <c r="AJ18" s="76"/>
      <c r="AK18" s="76"/>
      <c r="AL18" s="24">
        <f>+'Gen Rev'!AI18-'Gen Exp'!AE18+'Gen Exp'!AI18-AK18</f>
        <v>0</v>
      </c>
      <c r="AM18" s="41" t="str">
        <f>'Gen Rev'!A18</f>
        <v>Alvordton</v>
      </c>
      <c r="AN18" s="21" t="str">
        <f t="shared" si="1"/>
        <v>Alvordton</v>
      </c>
      <c r="AO18" s="21" t="b">
        <f t="shared" si="2"/>
        <v>1</v>
      </c>
    </row>
    <row r="19" spans="1:41" s="21" customFormat="1" ht="12" customHeight="1" x14ac:dyDescent="0.2">
      <c r="A19" s="1" t="s">
        <v>665</v>
      </c>
      <c r="B19" s="1"/>
      <c r="C19" s="1" t="s">
        <v>350</v>
      </c>
      <c r="D19" s="23"/>
      <c r="E19" s="76">
        <v>11955.67</v>
      </c>
      <c r="F19" s="76"/>
      <c r="G19" s="76">
        <v>0</v>
      </c>
      <c r="H19" s="76"/>
      <c r="I19" s="76">
        <v>2362.61</v>
      </c>
      <c r="J19" s="76"/>
      <c r="K19" s="76">
        <v>0</v>
      </c>
      <c r="L19" s="76"/>
      <c r="M19" s="76">
        <v>53936.46</v>
      </c>
      <c r="N19" s="76"/>
      <c r="O19" s="76">
        <v>0</v>
      </c>
      <c r="P19" s="76"/>
      <c r="Q19" s="76">
        <v>46372.66</v>
      </c>
      <c r="R19" s="76"/>
      <c r="S19" s="76">
        <v>0</v>
      </c>
      <c r="T19" s="76"/>
      <c r="U19" s="76">
        <v>0</v>
      </c>
      <c r="V19" s="76"/>
      <c r="W19" s="76">
        <v>0</v>
      </c>
      <c r="X19" s="76"/>
      <c r="Y19" s="76">
        <v>0</v>
      </c>
      <c r="Z19" s="76"/>
      <c r="AA19" s="76">
        <v>0</v>
      </c>
      <c r="AB19" s="76"/>
      <c r="AC19" s="76">
        <v>0</v>
      </c>
      <c r="AD19" s="76"/>
      <c r="AE19" s="76">
        <f t="shared" si="0"/>
        <v>114627.40000000001</v>
      </c>
      <c r="AF19" s="76"/>
      <c r="AG19" s="76">
        <v>20562.48</v>
      </c>
      <c r="AH19" s="76"/>
      <c r="AI19" s="76">
        <v>21764.38</v>
      </c>
      <c r="AJ19" s="76"/>
      <c r="AK19" s="76">
        <v>42326.86</v>
      </c>
      <c r="AL19" s="24">
        <f>+'Gen Rev'!AI19-'Gen Exp'!AE19+'Gen Exp'!AI19-AK19</f>
        <v>0</v>
      </c>
      <c r="AM19" s="41" t="str">
        <f>'Gen Rev'!A19</f>
        <v>Amanda</v>
      </c>
      <c r="AN19" s="21" t="str">
        <f t="shared" si="1"/>
        <v>Amanda</v>
      </c>
      <c r="AO19" s="21" t="b">
        <f t="shared" si="2"/>
        <v>1</v>
      </c>
    </row>
    <row r="20" spans="1:41" s="21" customFormat="1" ht="12" customHeight="1" x14ac:dyDescent="0.2">
      <c r="A20" s="1" t="s">
        <v>377</v>
      </c>
      <c r="B20" s="1"/>
      <c r="C20" s="1" t="s">
        <v>378</v>
      </c>
      <c r="D20" s="1"/>
      <c r="E20" s="76">
        <v>2722573</v>
      </c>
      <c r="F20" s="76"/>
      <c r="G20" s="76">
        <v>130343</v>
      </c>
      <c r="H20" s="76"/>
      <c r="I20" s="76">
        <v>2232</v>
      </c>
      <c r="J20" s="76"/>
      <c r="K20" s="76">
        <v>31348</v>
      </c>
      <c r="L20" s="76"/>
      <c r="M20" s="76">
        <v>217935</v>
      </c>
      <c r="N20" s="76"/>
      <c r="O20" s="76">
        <v>711692</v>
      </c>
      <c r="P20" s="76"/>
      <c r="Q20" s="76">
        <f>951601+1</f>
        <v>951602</v>
      </c>
      <c r="R20" s="76"/>
      <c r="S20" s="76">
        <v>0</v>
      </c>
      <c r="T20" s="76"/>
      <c r="U20" s="76">
        <v>0</v>
      </c>
      <c r="V20" s="76"/>
      <c r="W20" s="76">
        <v>0</v>
      </c>
      <c r="X20" s="76"/>
      <c r="Y20" s="76">
        <v>6328445</v>
      </c>
      <c r="Z20" s="76"/>
      <c r="AA20" s="76">
        <v>0</v>
      </c>
      <c r="AB20" s="76"/>
      <c r="AC20" s="76">
        <v>0</v>
      </c>
      <c r="AD20" s="76"/>
      <c r="AE20" s="76">
        <f t="shared" si="0"/>
        <v>11096170</v>
      </c>
      <c r="AF20" s="76"/>
      <c r="AG20" s="76">
        <v>-1163727</v>
      </c>
      <c r="AH20" s="76"/>
      <c r="AI20" s="76">
        <v>3203344</v>
      </c>
      <c r="AJ20" s="76"/>
      <c r="AK20" s="76">
        <v>2039617</v>
      </c>
      <c r="AL20" s="24">
        <f>+'Gen Rev'!AI20-'Gen Exp'!AE20+'Gen Exp'!AI20-AK20</f>
        <v>0</v>
      </c>
      <c r="AM20" s="41" t="str">
        <f>'Gen Rev'!A20</f>
        <v>Amberley</v>
      </c>
      <c r="AN20" s="21" t="str">
        <f t="shared" si="1"/>
        <v>Amberley</v>
      </c>
      <c r="AO20" s="21" t="b">
        <f t="shared" si="2"/>
        <v>1</v>
      </c>
    </row>
    <row r="21" spans="1:41" s="21" customFormat="1" ht="12" customHeight="1" x14ac:dyDescent="0.2">
      <c r="A21" s="1" t="s">
        <v>36</v>
      </c>
      <c r="B21" s="1"/>
      <c r="C21" s="1" t="s">
        <v>747</v>
      </c>
      <c r="D21" s="1"/>
      <c r="E21" s="76">
        <v>35085.69</v>
      </c>
      <c r="F21" s="76"/>
      <c r="G21" s="76">
        <v>13711.2</v>
      </c>
      <c r="H21" s="76"/>
      <c r="I21" s="76">
        <v>10200</v>
      </c>
      <c r="J21" s="76"/>
      <c r="K21" s="76">
        <v>7311.24</v>
      </c>
      <c r="L21" s="76"/>
      <c r="M21" s="76">
        <v>0</v>
      </c>
      <c r="N21" s="76"/>
      <c r="O21" s="76">
        <v>0</v>
      </c>
      <c r="P21" s="76"/>
      <c r="Q21" s="76">
        <v>230013.13</v>
      </c>
      <c r="R21" s="76"/>
      <c r="S21" s="76">
        <v>0</v>
      </c>
      <c r="T21" s="76"/>
      <c r="U21" s="76">
        <v>0</v>
      </c>
      <c r="V21" s="76"/>
      <c r="W21" s="76">
        <v>0</v>
      </c>
      <c r="X21" s="76"/>
      <c r="Y21" s="76">
        <v>0</v>
      </c>
      <c r="Z21" s="76"/>
      <c r="AA21" s="76">
        <v>37700</v>
      </c>
      <c r="AB21" s="76"/>
      <c r="AC21" s="76">
        <v>0</v>
      </c>
      <c r="AD21" s="76"/>
      <c r="AE21" s="76">
        <f t="shared" si="0"/>
        <v>334021.26</v>
      </c>
      <c r="AF21" s="76"/>
      <c r="AG21" s="76">
        <v>70479.149999999994</v>
      </c>
      <c r="AH21" s="76"/>
      <c r="AI21" s="76">
        <v>90380.27</v>
      </c>
      <c r="AJ21" s="76"/>
      <c r="AK21" s="76">
        <v>160859.42000000001</v>
      </c>
      <c r="AL21" s="24">
        <f>+'Gen Rev'!AI21-'Gen Exp'!AE21+'Gen Exp'!AI21-AK21</f>
        <v>0</v>
      </c>
      <c r="AM21" s="41" t="str">
        <f>'Gen Rev'!A21</f>
        <v>Amelia</v>
      </c>
      <c r="AN21" s="21" t="str">
        <f t="shared" si="1"/>
        <v>Amelia</v>
      </c>
      <c r="AO21" s="21" t="b">
        <f t="shared" si="2"/>
        <v>1</v>
      </c>
    </row>
    <row r="22" spans="1:41" s="21" customFormat="1" ht="12" customHeight="1" x14ac:dyDescent="0.2">
      <c r="A22" s="1" t="s">
        <v>9</v>
      </c>
      <c r="B22" s="1"/>
      <c r="C22" s="1" t="s">
        <v>739</v>
      </c>
      <c r="D22" s="23"/>
      <c r="E22" s="76">
        <v>4405.5200000000004</v>
      </c>
      <c r="F22" s="76"/>
      <c r="G22" s="76">
        <v>0</v>
      </c>
      <c r="H22" s="76"/>
      <c r="I22" s="76">
        <v>0</v>
      </c>
      <c r="J22" s="76"/>
      <c r="K22" s="76">
        <v>0</v>
      </c>
      <c r="L22" s="76"/>
      <c r="M22" s="76">
        <v>0</v>
      </c>
      <c r="N22" s="76"/>
      <c r="O22" s="76">
        <v>0</v>
      </c>
      <c r="P22" s="76"/>
      <c r="Q22" s="76">
        <v>23429.040000000001</v>
      </c>
      <c r="R22" s="76"/>
      <c r="S22" s="76">
        <v>0</v>
      </c>
      <c r="T22" s="76"/>
      <c r="U22" s="76">
        <v>0</v>
      </c>
      <c r="V22" s="76"/>
      <c r="W22" s="76">
        <v>0</v>
      </c>
      <c r="X22" s="76"/>
      <c r="Y22" s="76">
        <v>7450</v>
      </c>
      <c r="Z22" s="76"/>
      <c r="AA22" s="76">
        <v>0</v>
      </c>
      <c r="AB22" s="76"/>
      <c r="AC22" s="76">
        <v>0</v>
      </c>
      <c r="AD22" s="76"/>
      <c r="AE22" s="76">
        <f t="shared" si="0"/>
        <v>35284.559999999998</v>
      </c>
      <c r="AF22" s="76"/>
      <c r="AG22" s="76">
        <v>-2369.46</v>
      </c>
      <c r="AH22" s="76"/>
      <c r="AI22" s="76">
        <v>30698.46</v>
      </c>
      <c r="AJ22" s="76"/>
      <c r="AK22" s="76">
        <v>28329</v>
      </c>
      <c r="AL22" s="24">
        <f>+'Gen Rev'!AI22-'Gen Exp'!AE22+'Gen Exp'!AI22-AK22</f>
        <v>0</v>
      </c>
      <c r="AM22" s="41" t="str">
        <f>'Gen Rev'!A22</f>
        <v>Amesville</v>
      </c>
      <c r="AN22" s="21" t="str">
        <f t="shared" si="1"/>
        <v>Amesville</v>
      </c>
      <c r="AO22" s="21" t="b">
        <f t="shared" si="2"/>
        <v>1</v>
      </c>
    </row>
    <row r="23" spans="1:41" ht="12" customHeight="1" x14ac:dyDescent="0.2">
      <c r="A23" s="1" t="s">
        <v>421</v>
      </c>
      <c r="C23" s="1" t="s">
        <v>420</v>
      </c>
      <c r="E23" s="76">
        <v>20205</v>
      </c>
      <c r="F23" s="76"/>
      <c r="G23" s="76">
        <v>507</v>
      </c>
      <c r="H23" s="76"/>
      <c r="I23" s="76">
        <v>0</v>
      </c>
      <c r="J23" s="76"/>
      <c r="K23" s="76">
        <v>0</v>
      </c>
      <c r="L23" s="76"/>
      <c r="M23" s="76">
        <v>0</v>
      </c>
      <c r="N23" s="76"/>
      <c r="O23" s="76">
        <v>0</v>
      </c>
      <c r="P23" s="76"/>
      <c r="Q23" s="76">
        <v>33843</v>
      </c>
      <c r="R23" s="76"/>
      <c r="S23" s="76">
        <v>0</v>
      </c>
      <c r="T23" s="76"/>
      <c r="U23" s="76">
        <v>0</v>
      </c>
      <c r="V23" s="76"/>
      <c r="W23" s="76">
        <v>0</v>
      </c>
      <c r="X23" s="76"/>
      <c r="Y23" s="76">
        <v>500</v>
      </c>
      <c r="Z23" s="76"/>
      <c r="AA23" s="76">
        <v>0</v>
      </c>
      <c r="AB23" s="76"/>
      <c r="AC23" s="76">
        <v>662</v>
      </c>
      <c r="AD23" s="76"/>
      <c r="AE23" s="76">
        <f t="shared" si="0"/>
        <v>55717</v>
      </c>
      <c r="AF23" s="76"/>
      <c r="AG23" s="76">
        <v>14296</v>
      </c>
      <c r="AH23" s="76"/>
      <c r="AI23" s="76">
        <v>74744</v>
      </c>
      <c r="AJ23" s="76"/>
      <c r="AK23" s="76">
        <v>60448</v>
      </c>
      <c r="AL23" s="24">
        <f>+'Gen Rev'!AI23-'Gen Exp'!AE23+'Gen Exp'!AI23-AK23</f>
        <v>0</v>
      </c>
      <c r="AM23" s="41" t="str">
        <f>'Gen Rev'!A23</f>
        <v>Amsterdam</v>
      </c>
      <c r="AN23" s="21" t="str">
        <f t="shared" si="1"/>
        <v>Amsterdam</v>
      </c>
      <c r="AO23" s="21" t="b">
        <f t="shared" si="2"/>
        <v>1</v>
      </c>
    </row>
    <row r="24" spans="1:41" ht="12" customHeight="1" x14ac:dyDescent="0.2">
      <c r="A24" s="1" t="s">
        <v>915</v>
      </c>
      <c r="C24" s="1" t="s">
        <v>671</v>
      </c>
      <c r="D24" s="23"/>
      <c r="E24" s="76">
        <v>224631</v>
      </c>
      <c r="F24" s="76"/>
      <c r="G24" s="76">
        <v>12147.3</v>
      </c>
      <c r="H24" s="76"/>
      <c r="I24" s="76">
        <v>12913.67</v>
      </c>
      <c r="J24" s="76"/>
      <c r="K24" s="76">
        <v>5908.61</v>
      </c>
      <c r="L24" s="76"/>
      <c r="M24" s="76">
        <v>1395.2</v>
      </c>
      <c r="N24" s="76"/>
      <c r="O24" s="76">
        <v>0</v>
      </c>
      <c r="P24" s="76"/>
      <c r="Q24" s="76">
        <v>191946.27</v>
      </c>
      <c r="R24" s="76"/>
      <c r="S24" s="76">
        <v>0</v>
      </c>
      <c r="T24" s="76"/>
      <c r="U24" s="76">
        <v>0</v>
      </c>
      <c r="V24" s="76"/>
      <c r="W24" s="76">
        <v>0</v>
      </c>
      <c r="X24" s="76"/>
      <c r="Y24" s="76">
        <v>0.18</v>
      </c>
      <c r="Z24" s="76"/>
      <c r="AA24" s="76">
        <v>4848.29</v>
      </c>
      <c r="AB24" s="76"/>
      <c r="AC24" s="76">
        <v>0</v>
      </c>
      <c r="AD24" s="76"/>
      <c r="AE24" s="76">
        <f t="shared" si="0"/>
        <v>453790.51999999996</v>
      </c>
      <c r="AF24" s="76"/>
      <c r="AG24" s="76">
        <v>22621.82</v>
      </c>
      <c r="AH24" s="76"/>
      <c r="AI24" s="76">
        <v>-11583.31</v>
      </c>
      <c r="AJ24" s="76"/>
      <c r="AK24" s="76">
        <v>11038.51</v>
      </c>
      <c r="AL24" s="24">
        <f>+'Gen Rev'!AI24-'Gen Exp'!AE24+'Gen Exp'!AI24-AK24</f>
        <v>-5.0931703299283981E-11</v>
      </c>
      <c r="AM24" s="41" t="str">
        <f>'Gen Rev'!A24</f>
        <v>Andover</v>
      </c>
      <c r="AN24" s="21" t="str">
        <f t="shared" si="1"/>
        <v>Andover</v>
      </c>
      <c r="AO24" s="21" t="b">
        <f t="shared" si="2"/>
        <v>1</v>
      </c>
    </row>
    <row r="25" spans="1:41" ht="12" customHeight="1" x14ac:dyDescent="0.2">
      <c r="A25" s="1" t="s">
        <v>221</v>
      </c>
      <c r="C25" s="1" t="s">
        <v>803</v>
      </c>
      <c r="E25" s="76">
        <v>126828.09</v>
      </c>
      <c r="F25" s="76"/>
      <c r="G25" s="76">
        <v>5847</v>
      </c>
      <c r="H25" s="76"/>
      <c r="I25" s="76">
        <v>1200</v>
      </c>
      <c r="J25" s="76"/>
      <c r="K25" s="76">
        <v>116</v>
      </c>
      <c r="L25" s="76"/>
      <c r="M25" s="76">
        <v>0</v>
      </c>
      <c r="N25" s="76"/>
      <c r="O25" s="76">
        <v>87476.92</v>
      </c>
      <c r="P25" s="76"/>
      <c r="Q25" s="76">
        <v>131808.94</v>
      </c>
      <c r="R25" s="76"/>
      <c r="S25" s="76">
        <v>0</v>
      </c>
      <c r="T25" s="76"/>
      <c r="U25" s="76">
        <v>0</v>
      </c>
      <c r="V25" s="76"/>
      <c r="W25" s="76">
        <v>0</v>
      </c>
      <c r="X25" s="76"/>
      <c r="Y25" s="76">
        <v>341421.84</v>
      </c>
      <c r="Z25" s="76"/>
      <c r="AA25" s="76">
        <v>0</v>
      </c>
      <c r="AB25" s="76"/>
      <c r="AC25" s="76">
        <v>0</v>
      </c>
      <c r="AD25" s="76"/>
      <c r="AE25" s="76">
        <f t="shared" si="0"/>
        <v>694698.79</v>
      </c>
      <c r="AF25" s="76"/>
      <c r="AG25" s="76">
        <v>27392.73</v>
      </c>
      <c r="AH25" s="76"/>
      <c r="AI25" s="76">
        <v>99345.21</v>
      </c>
      <c r="AJ25" s="76"/>
      <c r="AK25" s="76">
        <v>126737.94</v>
      </c>
      <c r="AL25" s="24">
        <f>+'Gen Rev'!AI25-'Gen Exp'!AE25+'Gen Exp'!AI25-AK25</f>
        <v>0</v>
      </c>
      <c r="AM25" s="41" t="str">
        <f>'Gen Rev'!A25</f>
        <v>Anna</v>
      </c>
      <c r="AN25" s="21" t="str">
        <f t="shared" si="1"/>
        <v>Anna</v>
      </c>
      <c r="AO25" s="21" t="b">
        <f t="shared" si="2"/>
        <v>1</v>
      </c>
    </row>
    <row r="26" spans="1:41" ht="12" customHeight="1" x14ac:dyDescent="0.2">
      <c r="A26" s="1" t="s">
        <v>328</v>
      </c>
      <c r="C26" s="1" t="s">
        <v>329</v>
      </c>
      <c r="E26" s="76">
        <v>121498</v>
      </c>
      <c r="F26" s="76"/>
      <c r="G26" s="76">
        <v>7315</v>
      </c>
      <c r="H26" s="76"/>
      <c r="I26" s="76">
        <v>17612</v>
      </c>
      <c r="J26" s="76"/>
      <c r="K26" s="76">
        <v>0</v>
      </c>
      <c r="L26" s="76"/>
      <c r="M26" s="76">
        <v>0</v>
      </c>
      <c r="N26" s="76"/>
      <c r="O26" s="76">
        <v>0</v>
      </c>
      <c r="P26" s="76"/>
      <c r="Q26" s="76">
        <f>134943+2</f>
        <v>134945</v>
      </c>
      <c r="R26" s="76"/>
      <c r="S26" s="76">
        <v>7482</v>
      </c>
      <c r="T26" s="76"/>
      <c r="U26" s="76">
        <v>0</v>
      </c>
      <c r="V26" s="76"/>
      <c r="W26" s="76">
        <v>0</v>
      </c>
      <c r="X26" s="76"/>
      <c r="Y26" s="76">
        <v>53935</v>
      </c>
      <c r="Z26" s="76"/>
      <c r="AA26" s="76">
        <v>0</v>
      </c>
      <c r="AB26" s="76"/>
      <c r="AC26" s="76">
        <v>0</v>
      </c>
      <c r="AD26" s="76"/>
      <c r="AE26" s="76">
        <f t="shared" si="0"/>
        <v>342787</v>
      </c>
      <c r="AF26" s="76"/>
      <c r="AG26" s="76">
        <v>-25159</v>
      </c>
      <c r="AH26" s="76"/>
      <c r="AI26" s="76">
        <v>166734</v>
      </c>
      <c r="AJ26" s="76"/>
      <c r="AK26" s="76">
        <v>141575</v>
      </c>
      <c r="AL26" s="24">
        <f>+'Gen Rev'!AI26-'Gen Exp'!AE26+'Gen Exp'!AI26-AK26</f>
        <v>0</v>
      </c>
      <c r="AM26" s="41" t="str">
        <f>'Gen Rev'!A26</f>
        <v>Ansonia</v>
      </c>
      <c r="AN26" s="21" t="str">
        <f t="shared" si="1"/>
        <v>Ansonia</v>
      </c>
      <c r="AO26" s="21" t="b">
        <f t="shared" si="2"/>
        <v>1</v>
      </c>
    </row>
    <row r="27" spans="1:41" s="21" customFormat="1" ht="12" customHeight="1" x14ac:dyDescent="0.2">
      <c r="A27" s="1" t="s">
        <v>473</v>
      </c>
      <c r="B27" s="1"/>
      <c r="C27" s="1" t="s">
        <v>474</v>
      </c>
      <c r="D27" s="1"/>
      <c r="E27" s="76">
        <v>2112</v>
      </c>
      <c r="F27" s="76"/>
      <c r="G27" s="76">
        <v>763</v>
      </c>
      <c r="H27" s="76"/>
      <c r="I27" s="76">
        <v>0</v>
      </c>
      <c r="J27" s="76"/>
      <c r="K27" s="76">
        <v>0</v>
      </c>
      <c r="L27" s="76"/>
      <c r="M27" s="76">
        <v>0</v>
      </c>
      <c r="N27" s="76"/>
      <c r="O27" s="76">
        <v>0</v>
      </c>
      <c r="P27" s="76"/>
      <c r="Q27" s="76">
        <f>5340-1</f>
        <v>5339</v>
      </c>
      <c r="R27" s="76"/>
      <c r="S27" s="76">
        <v>0</v>
      </c>
      <c r="T27" s="76"/>
      <c r="U27" s="76">
        <v>0</v>
      </c>
      <c r="V27" s="76"/>
      <c r="W27" s="76">
        <v>0</v>
      </c>
      <c r="X27" s="76"/>
      <c r="Y27" s="76">
        <v>0</v>
      </c>
      <c r="Z27" s="76"/>
      <c r="AA27" s="76">
        <v>0</v>
      </c>
      <c r="AB27" s="76"/>
      <c r="AC27" s="76">
        <v>0</v>
      </c>
      <c r="AD27" s="76"/>
      <c r="AE27" s="76">
        <f t="shared" si="0"/>
        <v>8214</v>
      </c>
      <c r="AF27" s="76"/>
      <c r="AG27" s="76">
        <v>304</v>
      </c>
      <c r="AH27" s="76"/>
      <c r="AI27" s="76">
        <v>19006</v>
      </c>
      <c r="AJ27" s="76"/>
      <c r="AK27" s="76">
        <v>19311</v>
      </c>
      <c r="AL27" s="24">
        <f>+'Gen Rev'!AI27-'Gen Exp'!AE27+'Gen Exp'!AI27-AK27</f>
        <v>0</v>
      </c>
      <c r="AM27" s="41" t="str">
        <f>'Gen Rev'!A27</f>
        <v>Antioch</v>
      </c>
      <c r="AN27" s="21" t="str">
        <f t="shared" si="1"/>
        <v>Antioch</v>
      </c>
      <c r="AO27" s="21" t="b">
        <f t="shared" si="2"/>
        <v>1</v>
      </c>
    </row>
    <row r="28" spans="1:41" ht="12" customHeight="1" x14ac:dyDescent="0.2">
      <c r="A28" s="1" t="s">
        <v>495</v>
      </c>
      <c r="C28" s="1" t="s">
        <v>496</v>
      </c>
      <c r="E28" s="76">
        <v>33</v>
      </c>
      <c r="F28" s="76"/>
      <c r="G28" s="76">
        <v>0</v>
      </c>
      <c r="H28" s="76"/>
      <c r="I28" s="76">
        <v>36545</v>
      </c>
      <c r="J28" s="76"/>
      <c r="K28" s="76">
        <v>1000</v>
      </c>
      <c r="L28" s="76"/>
      <c r="M28" s="76">
        <v>0</v>
      </c>
      <c r="N28" s="76"/>
      <c r="O28" s="76">
        <v>0</v>
      </c>
      <c r="P28" s="76"/>
      <c r="Q28" s="76">
        <f>186866+2</f>
        <v>186868</v>
      </c>
      <c r="R28" s="76"/>
      <c r="S28" s="76">
        <v>18039</v>
      </c>
      <c r="T28" s="76"/>
      <c r="U28" s="76">
        <v>0</v>
      </c>
      <c r="V28" s="76"/>
      <c r="W28" s="76">
        <v>0</v>
      </c>
      <c r="X28" s="76"/>
      <c r="Y28" s="76">
        <v>185000</v>
      </c>
      <c r="Z28" s="76"/>
      <c r="AA28" s="76">
        <v>7139</v>
      </c>
      <c r="AB28" s="76"/>
      <c r="AC28" s="76">
        <v>0</v>
      </c>
      <c r="AD28" s="76"/>
      <c r="AE28" s="76">
        <f t="shared" si="0"/>
        <v>434624</v>
      </c>
      <c r="AF28" s="76"/>
      <c r="AG28" s="76">
        <v>-33992</v>
      </c>
      <c r="AH28" s="76"/>
      <c r="AI28" s="76">
        <v>225577</v>
      </c>
      <c r="AJ28" s="76"/>
      <c r="AK28" s="76">
        <v>191585</v>
      </c>
      <c r="AL28" s="24">
        <f>+'Gen Rev'!AI28-'Gen Exp'!AE28+'Gen Exp'!AI28-AK28</f>
        <v>0</v>
      </c>
      <c r="AM28" s="41" t="str">
        <f>'Gen Rev'!A28</f>
        <v>Antwerp</v>
      </c>
      <c r="AN28" s="21" t="str">
        <f t="shared" si="1"/>
        <v>Antwerp</v>
      </c>
      <c r="AO28" s="21" t="b">
        <f t="shared" si="2"/>
        <v>1</v>
      </c>
    </row>
    <row r="29" spans="1:41" s="21" customFormat="1" ht="12" customHeight="1" x14ac:dyDescent="0.2">
      <c r="A29" s="1" t="s">
        <v>587</v>
      </c>
      <c r="B29" s="1"/>
      <c r="C29" s="1" t="s">
        <v>588</v>
      </c>
      <c r="D29" s="1"/>
      <c r="E29" s="76">
        <v>162262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>
        <v>0</v>
      </c>
      <c r="N29" s="76"/>
      <c r="O29" s="76">
        <v>0</v>
      </c>
      <c r="P29" s="76"/>
      <c r="Q29" s="76">
        <v>103721</v>
      </c>
      <c r="R29" s="76"/>
      <c r="S29" s="76">
        <v>72644</v>
      </c>
      <c r="T29" s="76"/>
      <c r="U29" s="76">
        <v>0</v>
      </c>
      <c r="V29" s="76"/>
      <c r="W29" s="76">
        <v>0</v>
      </c>
      <c r="X29" s="76"/>
      <c r="Y29" s="76">
        <v>54300</v>
      </c>
      <c r="Z29" s="76"/>
      <c r="AA29" s="76">
        <v>0</v>
      </c>
      <c r="AB29" s="76"/>
      <c r="AC29" s="76">
        <v>1268</v>
      </c>
      <c r="AD29" s="76"/>
      <c r="AE29" s="76">
        <f t="shared" si="0"/>
        <v>394195</v>
      </c>
      <c r="AF29" s="76"/>
      <c r="AG29" s="76">
        <v>-88923</v>
      </c>
      <c r="AH29" s="76"/>
      <c r="AI29" s="76">
        <v>513776</v>
      </c>
      <c r="AJ29" s="76"/>
      <c r="AK29" s="76">
        <v>424853</v>
      </c>
      <c r="AL29" s="24">
        <f>+'Gen Rev'!AI29-'Gen Exp'!AE29+'Gen Exp'!AI29-AK29</f>
        <v>0</v>
      </c>
      <c r="AM29" s="41" t="str">
        <f>'Gen Rev'!A29</f>
        <v>Apple Creek</v>
      </c>
      <c r="AN29" s="21" t="str">
        <f t="shared" si="1"/>
        <v>Apple Creek</v>
      </c>
      <c r="AO29" s="21" t="b">
        <f t="shared" si="2"/>
        <v>1</v>
      </c>
    </row>
    <row r="30" spans="1:41" s="21" customFormat="1" ht="12" customHeight="1" x14ac:dyDescent="0.2">
      <c r="A30" s="1" t="s">
        <v>705</v>
      </c>
      <c r="B30" s="1"/>
      <c r="C30" s="1" t="s">
        <v>368</v>
      </c>
      <c r="D30" s="1"/>
      <c r="E30" s="76">
        <v>5849.87</v>
      </c>
      <c r="F30" s="76"/>
      <c r="G30" s="76">
        <v>0</v>
      </c>
      <c r="H30" s="76"/>
      <c r="I30" s="76">
        <v>5923.09</v>
      </c>
      <c r="J30" s="76"/>
      <c r="K30" s="76">
        <v>0</v>
      </c>
      <c r="L30" s="76"/>
      <c r="M30" s="76">
        <v>1535.69</v>
      </c>
      <c r="N30" s="76"/>
      <c r="O30" s="76">
        <v>0</v>
      </c>
      <c r="P30" s="76"/>
      <c r="Q30" s="76">
        <v>24935.81</v>
      </c>
      <c r="R30" s="76"/>
      <c r="S30" s="76">
        <v>0</v>
      </c>
      <c r="T30" s="76"/>
      <c r="U30" s="76">
        <v>0</v>
      </c>
      <c r="V30" s="76"/>
      <c r="W30" s="76">
        <v>0</v>
      </c>
      <c r="X30" s="76"/>
      <c r="Y30" s="76">
        <v>0</v>
      </c>
      <c r="Z30" s="76"/>
      <c r="AA30" s="76">
        <v>0</v>
      </c>
      <c r="AB30" s="76"/>
      <c r="AC30" s="76">
        <v>0</v>
      </c>
      <c r="AD30" s="76"/>
      <c r="AE30" s="76">
        <f t="shared" si="0"/>
        <v>38244.46</v>
      </c>
      <c r="AF30" s="76"/>
      <c r="AG30" s="76">
        <v>-10262.209999999999</v>
      </c>
      <c r="AH30" s="76"/>
      <c r="AI30" s="76">
        <v>58908.800000000003</v>
      </c>
      <c r="AJ30" s="76"/>
      <c r="AK30" s="76">
        <v>48646.59</v>
      </c>
      <c r="AL30" s="24">
        <f>+'Gen Rev'!AI30-'Gen Exp'!AE30+'Gen Exp'!AI30-AK30</f>
        <v>0</v>
      </c>
      <c r="AM30" s="41" t="str">
        <f>'Gen Rev'!A30</f>
        <v>Aquilla</v>
      </c>
      <c r="AN30" s="21" t="str">
        <f t="shared" si="1"/>
        <v>Aquilla</v>
      </c>
      <c r="AO30" s="21" t="b">
        <f t="shared" si="2"/>
        <v>1</v>
      </c>
    </row>
    <row r="31" spans="1:41" s="21" customFormat="1" ht="12" customHeight="1" x14ac:dyDescent="0.2">
      <c r="A31" s="1" t="s">
        <v>387</v>
      </c>
      <c r="B31" s="1"/>
      <c r="C31" s="1" t="s">
        <v>388</v>
      </c>
      <c r="D31" s="23"/>
      <c r="E31" s="76">
        <v>0</v>
      </c>
      <c r="F31" s="76"/>
      <c r="G31" s="76">
        <v>2968.92</v>
      </c>
      <c r="H31" s="76"/>
      <c r="I31" s="76">
        <v>1864.3</v>
      </c>
      <c r="J31" s="76"/>
      <c r="K31" s="76">
        <v>1912.31</v>
      </c>
      <c r="L31" s="76"/>
      <c r="M31" s="76">
        <v>0</v>
      </c>
      <c r="N31" s="76"/>
      <c r="O31" s="76">
        <v>0</v>
      </c>
      <c r="P31" s="76"/>
      <c r="Q31" s="76">
        <v>78225.75</v>
      </c>
      <c r="R31" s="76"/>
      <c r="S31" s="76">
        <v>790</v>
      </c>
      <c r="T31" s="76"/>
      <c r="U31" s="76">
        <v>0</v>
      </c>
      <c r="V31" s="76"/>
      <c r="W31" s="76">
        <v>0</v>
      </c>
      <c r="X31" s="76"/>
      <c r="Y31" s="76">
        <v>8900</v>
      </c>
      <c r="Z31" s="76"/>
      <c r="AA31" s="76">
        <v>0</v>
      </c>
      <c r="AB31" s="76"/>
      <c r="AC31" s="76">
        <v>0</v>
      </c>
      <c r="AD31" s="76"/>
      <c r="AE31" s="76">
        <f t="shared" si="0"/>
        <v>94661.28</v>
      </c>
      <c r="AF31" s="76"/>
      <c r="AG31" s="76">
        <v>-16853.73</v>
      </c>
      <c r="AH31" s="76"/>
      <c r="AI31" s="76">
        <v>221991.89</v>
      </c>
      <c r="AJ31" s="76"/>
      <c r="AK31" s="76">
        <v>205138.16</v>
      </c>
      <c r="AL31" s="24">
        <f>+'Gen Rev'!AI31-'Gen Exp'!AE31+'Gen Exp'!AI31-AK31</f>
        <v>0</v>
      </c>
      <c r="AM31" s="41" t="str">
        <f>'Gen Rev'!A31</f>
        <v>Arcadia</v>
      </c>
      <c r="AN31" s="21" t="str">
        <f t="shared" si="1"/>
        <v>Arcadia</v>
      </c>
      <c r="AO31" s="21" t="b">
        <f t="shared" si="2"/>
        <v>1</v>
      </c>
    </row>
    <row r="32" spans="1:41" s="21" customFormat="1" ht="12" customHeight="1" x14ac:dyDescent="0.2">
      <c r="A32" s="1" t="s">
        <v>330</v>
      </c>
      <c r="B32" s="1"/>
      <c r="C32" s="1" t="s">
        <v>329</v>
      </c>
      <c r="D32" s="1"/>
      <c r="E32" s="76">
        <v>258348</v>
      </c>
      <c r="F32" s="76"/>
      <c r="G32" s="76">
        <v>11214</v>
      </c>
      <c r="H32" s="76"/>
      <c r="I32" s="76">
        <v>4527</v>
      </c>
      <c r="J32" s="76"/>
      <c r="K32" s="76">
        <v>92876</v>
      </c>
      <c r="L32" s="76"/>
      <c r="M32" s="76">
        <v>0</v>
      </c>
      <c r="N32" s="76"/>
      <c r="O32" s="76">
        <v>0</v>
      </c>
      <c r="P32" s="76"/>
      <c r="Q32" s="76">
        <v>164559</v>
      </c>
      <c r="R32" s="76"/>
      <c r="S32" s="76">
        <v>45110</v>
      </c>
      <c r="T32" s="76"/>
      <c r="U32" s="76">
        <v>11321</v>
      </c>
      <c r="V32" s="76"/>
      <c r="W32" s="76">
        <v>0</v>
      </c>
      <c r="X32" s="76"/>
      <c r="Y32" s="76">
        <v>31000</v>
      </c>
      <c r="Z32" s="76"/>
      <c r="AA32" s="76">
        <v>0</v>
      </c>
      <c r="AB32" s="76"/>
      <c r="AC32" s="76">
        <v>0</v>
      </c>
      <c r="AD32" s="76"/>
      <c r="AE32" s="76">
        <f t="shared" si="0"/>
        <v>618955</v>
      </c>
      <c r="AF32" s="76"/>
      <c r="AG32" s="76">
        <v>188352</v>
      </c>
      <c r="AH32" s="76"/>
      <c r="AI32" s="76">
        <v>963234</v>
      </c>
      <c r="AJ32" s="76"/>
      <c r="AK32" s="76">
        <v>1151586</v>
      </c>
      <c r="AL32" s="24">
        <f>+'Gen Rev'!AI32-'Gen Exp'!AE32+'Gen Exp'!AI32-AK32</f>
        <v>0</v>
      </c>
      <c r="AM32" s="41" t="str">
        <f>'Gen Rev'!A32</f>
        <v>Arcanum</v>
      </c>
      <c r="AN32" s="21" t="str">
        <f t="shared" si="1"/>
        <v>Arcanum</v>
      </c>
      <c r="AO32" s="21" t="b">
        <f t="shared" si="2"/>
        <v>1</v>
      </c>
    </row>
    <row r="33" spans="1:41" s="21" customFormat="1" ht="12" customHeight="1" x14ac:dyDescent="0.2">
      <c r="A33" s="1" t="s">
        <v>357</v>
      </c>
      <c r="B33" s="1"/>
      <c r="C33" s="1" t="s">
        <v>358</v>
      </c>
      <c r="D33" s="1"/>
      <c r="E33" s="76">
        <v>1352080</v>
      </c>
      <c r="F33" s="76"/>
      <c r="G33" s="76">
        <v>20827</v>
      </c>
      <c r="H33" s="76"/>
      <c r="I33" s="76">
        <v>0</v>
      </c>
      <c r="J33" s="76"/>
      <c r="K33" s="76">
        <v>9488</v>
      </c>
      <c r="L33" s="76"/>
      <c r="M33" s="76">
        <v>297077</v>
      </c>
      <c r="N33" s="76"/>
      <c r="O33" s="76">
        <v>0</v>
      </c>
      <c r="P33" s="76"/>
      <c r="Q33" s="76">
        <v>669720</v>
      </c>
      <c r="R33" s="76"/>
      <c r="S33" s="76">
        <v>0</v>
      </c>
      <c r="T33" s="76"/>
      <c r="U33" s="76">
        <v>0</v>
      </c>
      <c r="V33" s="76"/>
      <c r="W33" s="76">
        <v>0</v>
      </c>
      <c r="X33" s="76"/>
      <c r="Y33" s="76">
        <v>2900000</v>
      </c>
      <c r="Z33" s="76"/>
      <c r="AA33" s="76">
        <v>50</v>
      </c>
      <c r="AB33" s="76"/>
      <c r="AC33" s="76">
        <v>13479</v>
      </c>
      <c r="AD33" s="76"/>
      <c r="AE33" s="76">
        <f t="shared" si="0"/>
        <v>5262721</v>
      </c>
      <c r="AF33" s="76"/>
      <c r="AG33" s="76">
        <v>-261464</v>
      </c>
      <c r="AH33" s="76"/>
      <c r="AI33" s="76">
        <v>2250732</v>
      </c>
      <c r="AJ33" s="76"/>
      <c r="AK33" s="76">
        <v>1989268</v>
      </c>
      <c r="AL33" s="24">
        <f>+'Gen Rev'!AI33-'Gen Exp'!AE33+'Gen Exp'!AI33-AK33</f>
        <v>0</v>
      </c>
      <c r="AM33" s="41" t="str">
        <f>'Gen Rev'!A33</f>
        <v>Archbold</v>
      </c>
      <c r="AN33" s="21" t="str">
        <f t="shared" si="1"/>
        <v>Archbold</v>
      </c>
      <c r="AO33" s="21" t="b">
        <f t="shared" si="2"/>
        <v>1</v>
      </c>
    </row>
    <row r="34" spans="1:41" ht="12" customHeight="1" x14ac:dyDescent="0.2">
      <c r="A34" s="15" t="s">
        <v>98</v>
      </c>
      <c r="B34" s="15"/>
      <c r="C34" s="15" t="s">
        <v>388</v>
      </c>
      <c r="D34" s="23"/>
      <c r="E34" s="76">
        <v>29833.57</v>
      </c>
      <c r="F34" s="76"/>
      <c r="G34" s="76">
        <v>8252.24</v>
      </c>
      <c r="H34" s="76"/>
      <c r="I34" s="76">
        <v>0</v>
      </c>
      <c r="J34" s="76"/>
      <c r="K34" s="76">
        <v>0</v>
      </c>
      <c r="L34" s="76"/>
      <c r="M34" s="76">
        <v>0</v>
      </c>
      <c r="N34" s="76"/>
      <c r="O34" s="76">
        <v>5877.4</v>
      </c>
      <c r="P34" s="76"/>
      <c r="Q34" s="76">
        <v>128077.82</v>
      </c>
      <c r="R34" s="76"/>
      <c r="S34" s="76">
        <v>0</v>
      </c>
      <c r="T34" s="76"/>
      <c r="U34" s="76">
        <v>0</v>
      </c>
      <c r="V34" s="76"/>
      <c r="W34" s="76">
        <v>0</v>
      </c>
      <c r="X34" s="76"/>
      <c r="Y34" s="76">
        <v>214934.49</v>
      </c>
      <c r="Z34" s="76"/>
      <c r="AA34" s="76">
        <v>23500</v>
      </c>
      <c r="AB34" s="76"/>
      <c r="AC34" s="76">
        <v>8506.6</v>
      </c>
      <c r="AD34" s="76"/>
      <c r="AE34" s="76">
        <f t="shared" si="0"/>
        <v>418982.12</v>
      </c>
      <c r="AF34" s="76"/>
      <c r="AG34" s="76">
        <v>-112218.7</v>
      </c>
      <c r="AH34" s="76"/>
      <c r="AI34" s="76">
        <v>265798.01</v>
      </c>
      <c r="AJ34" s="76"/>
      <c r="AK34" s="76">
        <v>153579.31</v>
      </c>
      <c r="AL34" s="24">
        <f>+'Gen Rev'!AI34-'Gen Exp'!AE34+'Gen Exp'!AI34-AK34</f>
        <v>0</v>
      </c>
      <c r="AM34" s="41" t="str">
        <f>'Gen Rev'!A34</f>
        <v>Arlington</v>
      </c>
      <c r="AN34" s="21" t="str">
        <f t="shared" si="1"/>
        <v>Arlington</v>
      </c>
      <c r="AO34" s="21" t="b">
        <f t="shared" si="2"/>
        <v>1</v>
      </c>
    </row>
    <row r="35" spans="1:41" s="21" customFormat="1" ht="12" customHeight="1" x14ac:dyDescent="0.2">
      <c r="A35" s="1" t="s">
        <v>379</v>
      </c>
      <c r="B35" s="1"/>
      <c r="C35" s="1" t="s">
        <v>378</v>
      </c>
      <c r="D35" s="1"/>
      <c r="E35" s="76">
        <v>335846</v>
      </c>
      <c r="F35" s="76"/>
      <c r="G35" s="76">
        <v>0</v>
      </c>
      <c r="H35" s="76"/>
      <c r="I35" s="76">
        <v>4968</v>
      </c>
      <c r="J35" s="76"/>
      <c r="K35" s="76">
        <v>0</v>
      </c>
      <c r="L35" s="76"/>
      <c r="M35" s="76">
        <v>0</v>
      </c>
      <c r="N35" s="76"/>
      <c r="O35" s="76">
        <v>0</v>
      </c>
      <c r="P35" s="76"/>
      <c r="Q35" s="76">
        <v>564453</v>
      </c>
      <c r="R35" s="76"/>
      <c r="S35" s="76">
        <v>0</v>
      </c>
      <c r="T35" s="76"/>
      <c r="U35" s="76">
        <v>22162</v>
      </c>
      <c r="V35" s="76"/>
      <c r="W35" s="76">
        <v>0</v>
      </c>
      <c r="X35" s="76"/>
      <c r="Y35" s="76">
        <v>0</v>
      </c>
      <c r="Z35" s="76"/>
      <c r="AA35" s="76">
        <v>0</v>
      </c>
      <c r="AB35" s="76"/>
      <c r="AC35" s="76">
        <f>2656+1</f>
        <v>2657</v>
      </c>
      <c r="AD35" s="76"/>
      <c r="AE35" s="76">
        <f t="shared" si="0"/>
        <v>930086</v>
      </c>
      <c r="AF35" s="76"/>
      <c r="AG35" s="76">
        <v>-23496</v>
      </c>
      <c r="AH35" s="76"/>
      <c r="AI35" s="76">
        <v>193869</v>
      </c>
      <c r="AJ35" s="76"/>
      <c r="AK35" s="76">
        <v>170373</v>
      </c>
      <c r="AL35" s="24">
        <f>+'Gen Rev'!AI35-'Gen Exp'!AE35+'Gen Exp'!AI35-AK35</f>
        <v>0</v>
      </c>
      <c r="AM35" s="41" t="str">
        <f>'Gen Rev'!A35</f>
        <v>Arlington Heights</v>
      </c>
      <c r="AN35" s="21" t="str">
        <f t="shared" si="1"/>
        <v>Arlington Heights</v>
      </c>
      <c r="AO35" s="21" t="b">
        <f t="shared" si="2"/>
        <v>1</v>
      </c>
    </row>
    <row r="36" spans="1:41" ht="12" customHeight="1" x14ac:dyDescent="0.2">
      <c r="A36" s="1" t="s">
        <v>914</v>
      </c>
      <c r="C36" s="1" t="s">
        <v>343</v>
      </c>
      <c r="E36" s="76">
        <v>0</v>
      </c>
      <c r="F36" s="76"/>
      <c r="G36" s="76">
        <v>0</v>
      </c>
      <c r="H36" s="76"/>
      <c r="I36" s="76">
        <v>0</v>
      </c>
      <c r="J36" s="76"/>
      <c r="K36" s="76">
        <v>0</v>
      </c>
      <c r="L36" s="76"/>
      <c r="M36" s="76">
        <v>72651.600000000006</v>
      </c>
      <c r="N36" s="76"/>
      <c r="O36" s="76">
        <v>0</v>
      </c>
      <c r="P36" s="76"/>
      <c r="Q36" s="76">
        <v>104677.59</v>
      </c>
      <c r="R36" s="76"/>
      <c r="S36" s="76">
        <v>0</v>
      </c>
      <c r="T36" s="76"/>
      <c r="U36" s="76">
        <v>0</v>
      </c>
      <c r="V36" s="76"/>
      <c r="W36" s="76">
        <v>0</v>
      </c>
      <c r="X36" s="76"/>
      <c r="Y36" s="76">
        <v>69095</v>
      </c>
      <c r="Z36" s="76"/>
      <c r="AA36" s="76">
        <v>0</v>
      </c>
      <c r="AB36" s="76"/>
      <c r="AC36" s="76">
        <v>0</v>
      </c>
      <c r="AD36" s="76"/>
      <c r="AE36" s="76">
        <f t="shared" si="0"/>
        <v>246424.19</v>
      </c>
      <c r="AF36" s="76"/>
      <c r="AG36" s="76">
        <v>-14052.02</v>
      </c>
      <c r="AH36" s="76"/>
      <c r="AI36" s="76">
        <v>80834.25</v>
      </c>
      <c r="AJ36" s="76"/>
      <c r="AK36" s="76">
        <v>66782.23</v>
      </c>
      <c r="AL36" s="24">
        <f>+'Gen Rev'!AI36-'Gen Exp'!AE36+'Gen Exp'!AI36-AK36</f>
        <v>0</v>
      </c>
      <c r="AM36" s="41" t="str">
        <f>'Gen Rev'!A36</f>
        <v>Ashley</v>
      </c>
      <c r="AN36" s="21" t="str">
        <f t="shared" si="1"/>
        <v>Ashley</v>
      </c>
      <c r="AO36" s="21" t="b">
        <f t="shared" si="2"/>
        <v>1</v>
      </c>
    </row>
    <row r="37" spans="1:41" s="15" customFormat="1" ht="12" customHeight="1" x14ac:dyDescent="0.2">
      <c r="A37" s="1" t="s">
        <v>836</v>
      </c>
      <c r="B37" s="1"/>
      <c r="C37" s="1" t="s">
        <v>793</v>
      </c>
      <c r="D37" s="1"/>
      <c r="E37" s="76">
        <v>700565.61</v>
      </c>
      <c r="F37" s="76"/>
      <c r="G37" s="76">
        <v>8896.5</v>
      </c>
      <c r="H37" s="76"/>
      <c r="I37" s="76">
        <v>27337.74</v>
      </c>
      <c r="J37" s="76"/>
      <c r="K37" s="76">
        <v>30840.77</v>
      </c>
      <c r="L37" s="76"/>
      <c r="M37" s="76">
        <v>315689.15999999997</v>
      </c>
      <c r="N37" s="76"/>
      <c r="O37" s="76">
        <v>143847.82999999999</v>
      </c>
      <c r="P37" s="76"/>
      <c r="Q37" s="76">
        <v>305107.88</v>
      </c>
      <c r="R37" s="76"/>
      <c r="S37" s="76">
        <v>0</v>
      </c>
      <c r="T37" s="76"/>
      <c r="U37" s="76">
        <v>24251</v>
      </c>
      <c r="V37" s="76"/>
      <c r="W37" s="76">
        <v>3044</v>
      </c>
      <c r="X37" s="76"/>
      <c r="Y37" s="76">
        <v>0</v>
      </c>
      <c r="Z37" s="76"/>
      <c r="AA37" s="76">
        <v>0</v>
      </c>
      <c r="AB37" s="76"/>
      <c r="AC37" s="76">
        <v>0</v>
      </c>
      <c r="AD37" s="76"/>
      <c r="AE37" s="76">
        <f t="shared" si="0"/>
        <v>1559580.4900000002</v>
      </c>
      <c r="AF37" s="76"/>
      <c r="AG37" s="76">
        <v>37296.089999999997</v>
      </c>
      <c r="AH37" s="76"/>
      <c r="AI37" s="76">
        <v>501355.71</v>
      </c>
      <c r="AJ37" s="76"/>
      <c r="AK37" s="76">
        <v>538651.80000000005</v>
      </c>
      <c r="AL37" s="24">
        <f>+'Gen Rev'!AI37-'Gen Exp'!AE37+'Gen Exp'!AI37-AK37</f>
        <v>0</v>
      </c>
      <c r="AM37" s="41" t="str">
        <f>'Gen Rev'!A37</f>
        <v>Ashville</v>
      </c>
      <c r="AN37" s="21" t="str">
        <f t="shared" si="1"/>
        <v>Ashville</v>
      </c>
      <c r="AO37" s="21" t="b">
        <f t="shared" si="2"/>
        <v>1</v>
      </c>
    </row>
    <row r="38" spans="1:41" ht="12" customHeight="1" x14ac:dyDescent="0.2">
      <c r="A38" s="15" t="s">
        <v>877</v>
      </c>
      <c r="B38" s="15"/>
      <c r="C38" s="15" t="s">
        <v>437</v>
      </c>
      <c r="D38" s="28"/>
      <c r="E38" s="76">
        <v>7425</v>
      </c>
      <c r="F38" s="76"/>
      <c r="G38" s="76">
        <v>0</v>
      </c>
      <c r="H38" s="76"/>
      <c r="I38" s="76">
        <v>0</v>
      </c>
      <c r="J38" s="76"/>
      <c r="K38" s="76">
        <v>1784</v>
      </c>
      <c r="L38" s="76"/>
      <c r="M38" s="76">
        <v>7182</v>
      </c>
      <c r="N38" s="76"/>
      <c r="O38" s="76">
        <v>0</v>
      </c>
      <c r="P38" s="76"/>
      <c r="Q38" s="76">
        <v>3789</v>
      </c>
      <c r="R38" s="76"/>
      <c r="S38" s="76">
        <v>0</v>
      </c>
      <c r="T38" s="76"/>
      <c r="U38" s="76">
        <v>800</v>
      </c>
      <c r="V38" s="76"/>
      <c r="W38" s="76">
        <v>0</v>
      </c>
      <c r="X38" s="76"/>
      <c r="Y38" s="76">
        <v>0</v>
      </c>
      <c r="Z38" s="76"/>
      <c r="AA38" s="76">
        <v>0</v>
      </c>
      <c r="AB38" s="76"/>
      <c r="AC38" s="76">
        <v>0</v>
      </c>
      <c r="AD38" s="76"/>
      <c r="AE38" s="76">
        <f t="shared" si="0"/>
        <v>20980</v>
      </c>
      <c r="AF38" s="76"/>
      <c r="AG38" s="76">
        <v>-5759</v>
      </c>
      <c r="AH38" s="76"/>
      <c r="AI38" s="76">
        <v>0</v>
      </c>
      <c r="AJ38" s="76"/>
      <c r="AK38" s="76">
        <v>-5759</v>
      </c>
      <c r="AL38" s="24">
        <f>+'Gen Rev'!AI38-'Gen Exp'!AE38+'Gen Exp'!AI38-AK38</f>
        <v>0</v>
      </c>
      <c r="AM38" s="41" t="str">
        <f>'Gen Rev'!A38</f>
        <v>Athalia</v>
      </c>
      <c r="AN38" s="21" t="str">
        <f t="shared" si="1"/>
        <v>Athalia</v>
      </c>
      <c r="AO38" s="21" t="b">
        <f t="shared" si="2"/>
        <v>1</v>
      </c>
    </row>
    <row r="39" spans="1:41" s="21" customFormat="1" ht="12" customHeight="1" x14ac:dyDescent="0.2">
      <c r="A39" s="1" t="s">
        <v>218</v>
      </c>
      <c r="B39" s="1"/>
      <c r="C39" s="1" t="s">
        <v>802</v>
      </c>
      <c r="D39" s="23"/>
      <c r="E39" s="76">
        <v>19416.68</v>
      </c>
      <c r="F39" s="76"/>
      <c r="G39" s="76">
        <v>0</v>
      </c>
      <c r="H39" s="76"/>
      <c r="I39" s="76">
        <v>0</v>
      </c>
      <c r="J39" s="76"/>
      <c r="K39" s="76">
        <v>0</v>
      </c>
      <c r="L39" s="76"/>
      <c r="M39" s="76">
        <v>0</v>
      </c>
      <c r="N39" s="76"/>
      <c r="O39" s="76">
        <v>0</v>
      </c>
      <c r="P39" s="76"/>
      <c r="Q39" s="76">
        <v>55909.24</v>
      </c>
      <c r="R39" s="76"/>
      <c r="S39" s="76">
        <v>1146</v>
      </c>
      <c r="T39" s="76"/>
      <c r="U39" s="76">
        <v>3958.7</v>
      </c>
      <c r="V39" s="76"/>
      <c r="W39" s="76">
        <v>4128.5600000000004</v>
      </c>
      <c r="X39" s="76"/>
      <c r="Y39" s="76">
        <v>0</v>
      </c>
      <c r="Z39" s="76"/>
      <c r="AA39" s="76">
        <v>0</v>
      </c>
      <c r="AB39" s="76"/>
      <c r="AC39" s="76">
        <v>0</v>
      </c>
      <c r="AD39" s="76"/>
      <c r="AE39" s="76">
        <f t="shared" si="0"/>
        <v>84559.18</v>
      </c>
      <c r="AF39" s="76"/>
      <c r="AG39" s="76">
        <v>844.7</v>
      </c>
      <c r="AH39" s="76"/>
      <c r="AI39" s="76">
        <v>123889.43</v>
      </c>
      <c r="AJ39" s="76"/>
      <c r="AK39" s="76">
        <v>124734.13</v>
      </c>
      <c r="AL39" s="24">
        <f>+'Gen Rev'!AI39-'Gen Exp'!AE39+'Gen Exp'!AI39-AK39</f>
        <v>0</v>
      </c>
      <c r="AM39" s="41" t="str">
        <f>'Gen Rev'!A39</f>
        <v>Attica</v>
      </c>
      <c r="AN39" s="21" t="str">
        <f t="shared" si="1"/>
        <v>Attica</v>
      </c>
      <c r="AO39" s="21" t="b">
        <f t="shared" si="2"/>
        <v>1</v>
      </c>
    </row>
    <row r="40" spans="1:41" s="21" customFormat="1" ht="12" customHeight="1" x14ac:dyDescent="0.2">
      <c r="A40" s="1" t="s">
        <v>667</v>
      </c>
      <c r="B40" s="1"/>
      <c r="C40" s="1" t="s">
        <v>666</v>
      </c>
      <c r="D40" s="23"/>
      <c r="E40" s="76">
        <v>3849</v>
      </c>
      <c r="F40" s="76"/>
      <c r="G40" s="76">
        <v>149</v>
      </c>
      <c r="H40" s="76"/>
      <c r="I40" s="76">
        <v>3680</v>
      </c>
      <c r="J40" s="76"/>
      <c r="K40" s="76">
        <v>2874</v>
      </c>
      <c r="L40" s="76"/>
      <c r="M40" s="76">
        <v>0</v>
      </c>
      <c r="N40" s="76"/>
      <c r="O40" s="76">
        <v>6751</v>
      </c>
      <c r="P40" s="76"/>
      <c r="Q40" s="76">
        <v>29926</v>
      </c>
      <c r="R40" s="76"/>
      <c r="S40" s="76">
        <v>0</v>
      </c>
      <c r="T40" s="76"/>
      <c r="U40" s="76">
        <v>0</v>
      </c>
      <c r="V40" s="76"/>
      <c r="W40" s="76">
        <v>0</v>
      </c>
      <c r="X40" s="76"/>
      <c r="Y40" s="76">
        <v>0</v>
      </c>
      <c r="Z40" s="76"/>
      <c r="AA40" s="76">
        <v>0</v>
      </c>
      <c r="AB40" s="76"/>
      <c r="AC40" s="76">
        <v>0</v>
      </c>
      <c r="AD40" s="76"/>
      <c r="AE40" s="76">
        <f t="shared" si="0"/>
        <v>47229</v>
      </c>
      <c r="AF40" s="76"/>
      <c r="AG40" s="76">
        <v>-8132</v>
      </c>
      <c r="AH40" s="76"/>
      <c r="AI40" s="76">
        <v>33255</v>
      </c>
      <c r="AJ40" s="76"/>
      <c r="AK40" s="76">
        <v>25123</v>
      </c>
      <c r="AL40" s="24">
        <f>+'Gen Rev'!AI40-'Gen Exp'!AE40+'Gen Exp'!AI40-AK40</f>
        <v>0</v>
      </c>
      <c r="AM40" s="41" t="str">
        <f>'Gen Rev'!A40</f>
        <v>Bailey Lakes</v>
      </c>
      <c r="AN40" s="21" t="str">
        <f t="shared" si="1"/>
        <v>Bailey Lakes</v>
      </c>
      <c r="AO40" s="21" t="b">
        <f t="shared" si="2"/>
        <v>1</v>
      </c>
    </row>
    <row r="41" spans="1:41" s="21" customFormat="1" ht="12" customHeight="1" x14ac:dyDescent="0.2">
      <c r="A41" s="1" t="s">
        <v>837</v>
      </c>
      <c r="B41" s="1"/>
      <c r="C41" s="1" t="s">
        <v>799</v>
      </c>
      <c r="D41" s="23"/>
      <c r="E41" s="76">
        <v>69332.53</v>
      </c>
      <c r="F41" s="76"/>
      <c r="G41" s="76">
        <v>0</v>
      </c>
      <c r="H41" s="76"/>
      <c r="I41" s="76">
        <v>3984.6</v>
      </c>
      <c r="J41" s="76"/>
      <c r="K41" s="76">
        <v>0</v>
      </c>
      <c r="L41" s="76"/>
      <c r="M41" s="76">
        <v>0</v>
      </c>
      <c r="N41" s="76"/>
      <c r="O41" s="76">
        <v>0</v>
      </c>
      <c r="P41" s="76"/>
      <c r="Q41" s="76">
        <v>72340.28</v>
      </c>
      <c r="R41" s="76"/>
      <c r="S41" s="76">
        <v>12157.55</v>
      </c>
      <c r="T41" s="76"/>
      <c r="U41" s="76">
        <v>0</v>
      </c>
      <c r="V41" s="76"/>
      <c r="W41" s="76">
        <v>0</v>
      </c>
      <c r="X41" s="76"/>
      <c r="Y41" s="76">
        <v>0</v>
      </c>
      <c r="Z41" s="76"/>
      <c r="AA41" s="76">
        <v>0</v>
      </c>
      <c r="AB41" s="76"/>
      <c r="AC41" s="76">
        <v>15.96</v>
      </c>
      <c r="AD41" s="76"/>
      <c r="AE41" s="76">
        <f t="shared" ref="AE41:AE73" si="3">SUM(E41:AC41)</f>
        <v>157830.91999999998</v>
      </c>
      <c r="AF41" s="76"/>
      <c r="AG41" s="76">
        <v>-57651.7</v>
      </c>
      <c r="AH41" s="76"/>
      <c r="AI41" s="76">
        <v>239674.97</v>
      </c>
      <c r="AJ41" s="76"/>
      <c r="AK41" s="76">
        <v>182023.27</v>
      </c>
      <c r="AL41" s="24">
        <f>+'Gen Rev'!AI41-'Gen Exp'!AE41+'Gen Exp'!AI41-AK41</f>
        <v>0</v>
      </c>
      <c r="AM41" s="41" t="str">
        <f>'Gen Rev'!A41</f>
        <v>Bainbridge</v>
      </c>
      <c r="AN41" s="21" t="str">
        <f t="shared" ref="AN41:AN73" si="4">A41</f>
        <v>Bainbridge</v>
      </c>
      <c r="AO41" s="21" t="b">
        <f t="shared" ref="AO41:AO72" si="5">AM41=AN41</f>
        <v>1</v>
      </c>
    </row>
    <row r="42" spans="1:41" ht="12" customHeight="1" x14ac:dyDescent="0.2">
      <c r="A42" s="1" t="s">
        <v>600</v>
      </c>
      <c r="C42" s="1" t="s">
        <v>601</v>
      </c>
      <c r="D42" s="23"/>
      <c r="E42" s="76">
        <v>412.52</v>
      </c>
      <c r="F42" s="76"/>
      <c r="G42" s="76">
        <v>45.48</v>
      </c>
      <c r="H42" s="76"/>
      <c r="I42" s="76">
        <v>0</v>
      </c>
      <c r="J42" s="76"/>
      <c r="K42" s="76">
        <v>0</v>
      </c>
      <c r="L42" s="76"/>
      <c r="M42" s="76">
        <v>0</v>
      </c>
      <c r="N42" s="76"/>
      <c r="O42" s="76">
        <v>0</v>
      </c>
      <c r="P42" s="76"/>
      <c r="Q42" s="76">
        <v>16988.28</v>
      </c>
      <c r="R42" s="76"/>
      <c r="S42" s="76">
        <v>0</v>
      </c>
      <c r="T42" s="76"/>
      <c r="U42" s="76">
        <v>0</v>
      </c>
      <c r="V42" s="76"/>
      <c r="W42" s="76">
        <v>0</v>
      </c>
      <c r="X42" s="76"/>
      <c r="Y42" s="76">
        <v>0</v>
      </c>
      <c r="Z42" s="76"/>
      <c r="AA42" s="76">
        <v>0</v>
      </c>
      <c r="AB42" s="76"/>
      <c r="AC42" s="76">
        <v>0</v>
      </c>
      <c r="AD42" s="76"/>
      <c r="AE42" s="76">
        <f t="shared" si="3"/>
        <v>17446.28</v>
      </c>
      <c r="AF42" s="76"/>
      <c r="AG42" s="76">
        <v>-7336.03</v>
      </c>
      <c r="AH42" s="76"/>
      <c r="AI42" s="76">
        <v>7865.84</v>
      </c>
      <c r="AJ42" s="76"/>
      <c r="AK42" s="76">
        <v>529.80999999999995</v>
      </c>
      <c r="AL42" s="24">
        <f>+'Gen Rev'!AI42-'Gen Exp'!AE42+'Gen Exp'!AI42-AK42</f>
        <v>0</v>
      </c>
      <c r="AM42" s="41" t="str">
        <f>'Gen Rev'!A42</f>
        <v>Bairdstown</v>
      </c>
      <c r="AN42" s="21" t="str">
        <f t="shared" si="4"/>
        <v>Bairdstown</v>
      </c>
      <c r="AO42" s="21" t="b">
        <f t="shared" si="5"/>
        <v>1</v>
      </c>
    </row>
    <row r="43" spans="1:41" s="21" customFormat="1" ht="12" customHeight="1" x14ac:dyDescent="0.2">
      <c r="A43" s="1" t="s">
        <v>559</v>
      </c>
      <c r="B43" s="1"/>
      <c r="C43" s="1" t="s">
        <v>560</v>
      </c>
      <c r="D43" s="1"/>
      <c r="E43" s="76">
        <v>27607</v>
      </c>
      <c r="F43" s="76"/>
      <c r="G43" s="76">
        <v>1914</v>
      </c>
      <c r="H43" s="76"/>
      <c r="I43" s="76">
        <v>6250</v>
      </c>
      <c r="J43" s="76"/>
      <c r="K43" s="76">
        <v>185</v>
      </c>
      <c r="L43" s="76"/>
      <c r="M43" s="76">
        <v>0</v>
      </c>
      <c r="N43" s="76"/>
      <c r="O43" s="76">
        <v>1470</v>
      </c>
      <c r="P43" s="76"/>
      <c r="Q43" s="76">
        <v>98072</v>
      </c>
      <c r="R43" s="76"/>
      <c r="S43" s="76">
        <v>10934</v>
      </c>
      <c r="T43" s="76"/>
      <c r="U43" s="76">
        <v>0</v>
      </c>
      <c r="V43" s="76"/>
      <c r="W43" s="76">
        <v>0</v>
      </c>
      <c r="X43" s="76"/>
      <c r="Y43" s="76">
        <v>10000</v>
      </c>
      <c r="Z43" s="76"/>
      <c r="AA43" s="76">
        <v>0</v>
      </c>
      <c r="AB43" s="76"/>
      <c r="AC43" s="76">
        <v>0</v>
      </c>
      <c r="AD43" s="76"/>
      <c r="AE43" s="76">
        <f t="shared" si="3"/>
        <v>156432</v>
      </c>
      <c r="AF43" s="76"/>
      <c r="AG43" s="76">
        <v>55300</v>
      </c>
      <c r="AH43" s="76"/>
      <c r="AI43" s="76">
        <v>67985</v>
      </c>
      <c r="AJ43" s="76"/>
      <c r="AK43" s="76">
        <v>123285</v>
      </c>
      <c r="AL43" s="24">
        <f>+'Gen Rev'!AI43-'Gen Exp'!AE43+'Gen Exp'!AI43-AK43</f>
        <v>0</v>
      </c>
      <c r="AM43" s="41" t="str">
        <f>'Gen Rev'!A43</f>
        <v>Baltic</v>
      </c>
      <c r="AN43" s="21" t="str">
        <f t="shared" si="4"/>
        <v>Baltic</v>
      </c>
      <c r="AO43" s="21" t="b">
        <f t="shared" si="5"/>
        <v>1</v>
      </c>
    </row>
    <row r="44" spans="1:41" s="21" customFormat="1" ht="12" customHeight="1" x14ac:dyDescent="0.2">
      <c r="A44" s="1" t="s">
        <v>349</v>
      </c>
      <c r="B44" s="1"/>
      <c r="C44" s="1" t="s">
        <v>350</v>
      </c>
      <c r="D44" s="1"/>
      <c r="E44" s="76">
        <v>321455</v>
      </c>
      <c r="F44" s="76"/>
      <c r="G44" s="76">
        <v>17141</v>
      </c>
      <c r="H44" s="76"/>
      <c r="I44" s="76">
        <v>25827</v>
      </c>
      <c r="J44" s="76"/>
      <c r="K44" s="76">
        <v>39842</v>
      </c>
      <c r="L44" s="76"/>
      <c r="M44" s="76">
        <v>9850</v>
      </c>
      <c r="N44" s="76"/>
      <c r="O44" s="76">
        <v>0</v>
      </c>
      <c r="P44" s="76"/>
      <c r="Q44" s="76">
        <f>184212-2</f>
        <v>184210</v>
      </c>
      <c r="R44" s="76"/>
      <c r="S44" s="76">
        <v>13941</v>
      </c>
      <c r="T44" s="76"/>
      <c r="U44" s="76">
        <v>6173</v>
      </c>
      <c r="V44" s="76"/>
      <c r="W44" s="76">
        <v>445</v>
      </c>
      <c r="X44" s="76"/>
      <c r="Y44" s="76">
        <v>0</v>
      </c>
      <c r="Z44" s="76"/>
      <c r="AA44" s="76">
        <v>0</v>
      </c>
      <c r="AB44" s="76"/>
      <c r="AC44" s="76">
        <v>0</v>
      </c>
      <c r="AD44" s="76"/>
      <c r="AE44" s="76">
        <f t="shared" si="3"/>
        <v>618884</v>
      </c>
      <c r="AF44" s="76"/>
      <c r="AG44" s="76">
        <v>74894</v>
      </c>
      <c r="AH44" s="76"/>
      <c r="AI44" s="76">
        <v>28131</v>
      </c>
      <c r="AJ44" s="76"/>
      <c r="AK44" s="76">
        <v>103026</v>
      </c>
      <c r="AL44" s="24">
        <f>+'Gen Rev'!AI44-'Gen Exp'!AE44+'Gen Exp'!AI44-AK44</f>
        <v>0</v>
      </c>
      <c r="AM44" s="41" t="str">
        <f>'Gen Rev'!A44</f>
        <v>Baltimore</v>
      </c>
      <c r="AN44" s="21" t="str">
        <f t="shared" si="4"/>
        <v>Baltimore</v>
      </c>
      <c r="AO44" s="21" t="b">
        <f t="shared" si="5"/>
        <v>1</v>
      </c>
    </row>
    <row r="45" spans="1:41" s="21" customFormat="1" ht="12" customHeight="1" x14ac:dyDescent="0.2">
      <c r="A45" s="1" t="s">
        <v>278</v>
      </c>
      <c r="B45" s="1"/>
      <c r="C45" s="1" t="s">
        <v>279</v>
      </c>
      <c r="D45" s="1"/>
      <c r="E45" s="76">
        <v>508443</v>
      </c>
      <c r="F45" s="76"/>
      <c r="G45" s="76">
        <v>17426</v>
      </c>
      <c r="H45" s="76"/>
      <c r="I45" s="76">
        <v>14011</v>
      </c>
      <c r="J45" s="76"/>
      <c r="K45" s="76">
        <v>0</v>
      </c>
      <c r="L45" s="76"/>
      <c r="M45" s="76">
        <v>0</v>
      </c>
      <c r="N45" s="76"/>
      <c r="O45" s="76">
        <v>42828</v>
      </c>
      <c r="P45" s="76"/>
      <c r="Q45" s="76">
        <v>135411</v>
      </c>
      <c r="R45" s="76"/>
      <c r="S45" s="76">
        <v>0</v>
      </c>
      <c r="T45" s="76"/>
      <c r="U45" s="76">
        <v>0</v>
      </c>
      <c r="V45" s="76"/>
      <c r="W45" s="76">
        <v>0</v>
      </c>
      <c r="X45" s="76"/>
      <c r="Y45" s="76">
        <v>0</v>
      </c>
      <c r="Z45" s="76"/>
      <c r="AA45" s="76">
        <v>0</v>
      </c>
      <c r="AB45" s="76"/>
      <c r="AC45" s="76">
        <v>0</v>
      </c>
      <c r="AD45" s="76"/>
      <c r="AE45" s="76">
        <f t="shared" si="3"/>
        <v>718119</v>
      </c>
      <c r="AF45" s="76"/>
      <c r="AG45" s="76">
        <v>4717595</v>
      </c>
      <c r="AH45" s="76"/>
      <c r="AI45" s="76">
        <v>186140</v>
      </c>
      <c r="AJ45" s="76"/>
      <c r="AK45" s="76">
        <v>4903735</v>
      </c>
      <c r="AL45" s="24">
        <f>+'Gen Rev'!AI45-'Gen Exp'!AE45+'Gen Exp'!AI45-AK45</f>
        <v>0</v>
      </c>
      <c r="AM45" s="41" t="str">
        <f>'Gen Rev'!A45</f>
        <v>Barnesville</v>
      </c>
      <c r="AN45" s="21" t="str">
        <f t="shared" si="4"/>
        <v>Barnesville</v>
      </c>
      <c r="AO45" s="21" t="b">
        <f t="shared" si="5"/>
        <v>1</v>
      </c>
    </row>
    <row r="46" spans="1:41" ht="12" customHeight="1" x14ac:dyDescent="0.2">
      <c r="A46" s="1" t="s">
        <v>561</v>
      </c>
      <c r="C46" s="1" t="s">
        <v>560</v>
      </c>
      <c r="D46" s="23"/>
      <c r="E46" s="76">
        <v>0</v>
      </c>
      <c r="F46" s="76"/>
      <c r="G46" s="76">
        <v>97.76</v>
      </c>
      <c r="H46" s="76"/>
      <c r="I46" s="76">
        <v>100</v>
      </c>
      <c r="J46" s="76"/>
      <c r="K46" s="76">
        <v>0</v>
      </c>
      <c r="L46" s="76"/>
      <c r="M46" s="76">
        <v>6770.63</v>
      </c>
      <c r="N46" s="76"/>
      <c r="O46" s="76">
        <v>0</v>
      </c>
      <c r="P46" s="76"/>
      <c r="Q46" s="76">
        <v>24001.77</v>
      </c>
      <c r="R46" s="76"/>
      <c r="S46" s="76">
        <v>0</v>
      </c>
      <c r="T46" s="76"/>
      <c r="U46" s="76">
        <v>0</v>
      </c>
      <c r="V46" s="76"/>
      <c r="W46" s="76">
        <v>0</v>
      </c>
      <c r="X46" s="76"/>
      <c r="Y46" s="76">
        <v>0</v>
      </c>
      <c r="Z46" s="76"/>
      <c r="AA46" s="76">
        <v>0</v>
      </c>
      <c r="AB46" s="76"/>
      <c r="AC46" s="76">
        <v>0</v>
      </c>
      <c r="AD46" s="76"/>
      <c r="AE46" s="76">
        <f t="shared" si="3"/>
        <v>30970.16</v>
      </c>
      <c r="AF46" s="76"/>
      <c r="AG46" s="76">
        <v>-234.37</v>
      </c>
      <c r="AH46" s="76"/>
      <c r="AI46" s="76">
        <v>26121.7</v>
      </c>
      <c r="AJ46" s="76"/>
      <c r="AK46" s="76">
        <v>25887.33</v>
      </c>
      <c r="AL46" s="24">
        <f>+'Gen Rev'!AI46-'Gen Exp'!AE46+'Gen Exp'!AI46-AK46</f>
        <v>0</v>
      </c>
      <c r="AM46" s="41" t="str">
        <f>'Gen Rev'!A46</f>
        <v>Barnhill</v>
      </c>
      <c r="AN46" s="21" t="str">
        <f t="shared" si="4"/>
        <v>Barnhill</v>
      </c>
      <c r="AO46" s="21" t="b">
        <f t="shared" si="5"/>
        <v>1</v>
      </c>
    </row>
    <row r="47" spans="1:41" ht="12" customHeight="1" x14ac:dyDescent="0.2">
      <c r="A47" s="1" t="s">
        <v>294</v>
      </c>
      <c r="C47" s="1" t="s">
        <v>295</v>
      </c>
      <c r="E47" s="76">
        <v>300848.86</v>
      </c>
      <c r="F47" s="76"/>
      <c r="G47" s="76">
        <v>7128.52</v>
      </c>
      <c r="H47" s="76"/>
      <c r="I47" s="76">
        <v>0</v>
      </c>
      <c r="J47" s="76"/>
      <c r="K47" s="76">
        <v>0</v>
      </c>
      <c r="L47" s="76"/>
      <c r="M47" s="76">
        <v>0</v>
      </c>
      <c r="N47" s="76"/>
      <c r="O47" s="76">
        <v>0</v>
      </c>
      <c r="P47" s="76"/>
      <c r="Q47" s="76">
        <v>234022.67</v>
      </c>
      <c r="R47" s="76"/>
      <c r="S47" s="76">
        <v>0</v>
      </c>
      <c r="T47" s="76"/>
      <c r="U47" s="76">
        <v>0</v>
      </c>
      <c r="V47" s="76"/>
      <c r="W47" s="76">
        <v>0</v>
      </c>
      <c r="X47" s="76"/>
      <c r="Y47" s="76">
        <v>543961.88</v>
      </c>
      <c r="Z47" s="76"/>
      <c r="AA47" s="76">
        <v>0</v>
      </c>
      <c r="AB47" s="76"/>
      <c r="AC47" s="76">
        <v>0</v>
      </c>
      <c r="AD47" s="76"/>
      <c r="AE47" s="76">
        <f t="shared" si="3"/>
        <v>1085961.9300000002</v>
      </c>
      <c r="AF47" s="76"/>
      <c r="AG47" s="76">
        <v>60682.52</v>
      </c>
      <c r="AH47" s="76"/>
      <c r="AI47" s="76">
        <v>438747.37</v>
      </c>
      <c r="AJ47" s="76"/>
      <c r="AK47" s="76">
        <v>499429.89</v>
      </c>
      <c r="AL47" s="24">
        <f>+'Gen Rev'!AI47-'Gen Exp'!AE47+'Gen Exp'!AI47-AK47</f>
        <v>0</v>
      </c>
      <c r="AM47" s="41" t="str">
        <f>'Gen Rev'!A47</f>
        <v>Batavia</v>
      </c>
      <c r="AN47" s="21" t="str">
        <f t="shared" si="4"/>
        <v>Batavia</v>
      </c>
      <c r="AO47" s="21" t="b">
        <f t="shared" si="5"/>
        <v>1</v>
      </c>
    </row>
    <row r="48" spans="1:41" s="21" customFormat="1" ht="12" customHeight="1" x14ac:dyDescent="0.2">
      <c r="A48" s="1" t="s">
        <v>489</v>
      </c>
      <c r="B48" s="1"/>
      <c r="C48" s="1" t="s">
        <v>490</v>
      </c>
      <c r="D48" s="1"/>
      <c r="E48" s="76">
        <v>400</v>
      </c>
      <c r="F48" s="76"/>
      <c r="G48" s="76">
        <v>0</v>
      </c>
      <c r="H48" s="76"/>
      <c r="I48" s="76">
        <v>0</v>
      </c>
      <c r="J48" s="76"/>
      <c r="K48" s="76">
        <v>741</v>
      </c>
      <c r="L48" s="76"/>
      <c r="M48" s="76">
        <v>0</v>
      </c>
      <c r="N48" s="76"/>
      <c r="O48" s="76">
        <v>0</v>
      </c>
      <c r="P48" s="76"/>
      <c r="Q48" s="76">
        <v>0</v>
      </c>
      <c r="R48" s="76"/>
      <c r="S48" s="76">
        <v>16055</v>
      </c>
      <c r="T48" s="76"/>
      <c r="U48" s="76">
        <v>0</v>
      </c>
      <c r="V48" s="76"/>
      <c r="W48" s="76">
        <v>0</v>
      </c>
      <c r="X48" s="76"/>
      <c r="Y48" s="76">
        <v>0</v>
      </c>
      <c r="Z48" s="76"/>
      <c r="AA48" s="76">
        <v>0</v>
      </c>
      <c r="AB48" s="76"/>
      <c r="AC48" s="76">
        <v>0</v>
      </c>
      <c r="AD48" s="76"/>
      <c r="AE48" s="76">
        <f t="shared" si="3"/>
        <v>17196</v>
      </c>
      <c r="AF48" s="76"/>
      <c r="AG48" s="76">
        <f>38172-17196</f>
        <v>20976</v>
      </c>
      <c r="AH48" s="76"/>
      <c r="AI48" s="76">
        <v>6066</v>
      </c>
      <c r="AJ48" s="76"/>
      <c r="AK48" s="76">
        <v>27042</v>
      </c>
      <c r="AL48" s="24">
        <f>+'Gen Rev'!AI48-'Gen Exp'!AE48+'Gen Exp'!AI48-AK48</f>
        <v>0</v>
      </c>
      <c r="AM48" s="41" t="str">
        <f>'Gen Rev'!A48</f>
        <v>Batesville</v>
      </c>
      <c r="AN48" s="21" t="str">
        <f t="shared" si="4"/>
        <v>Batesville</v>
      </c>
      <c r="AO48" s="21" t="b">
        <f t="shared" si="5"/>
        <v>1</v>
      </c>
    </row>
    <row r="49" spans="1:41" s="21" customFormat="1" ht="12" customHeight="1" x14ac:dyDescent="0.2">
      <c r="A49" s="1" t="s">
        <v>58</v>
      </c>
      <c r="B49" s="1"/>
      <c r="C49" s="1" t="s">
        <v>755</v>
      </c>
      <c r="D49" s="1"/>
      <c r="E49" s="76">
        <v>60101.49</v>
      </c>
      <c r="F49" s="76"/>
      <c r="G49" s="76">
        <v>0</v>
      </c>
      <c r="H49" s="76"/>
      <c r="I49" s="76">
        <v>3100</v>
      </c>
      <c r="J49" s="76"/>
      <c r="K49" s="76">
        <v>0</v>
      </c>
      <c r="L49" s="76"/>
      <c r="M49" s="76">
        <v>560.6</v>
      </c>
      <c r="N49" s="76"/>
      <c r="O49" s="76">
        <v>1942.23</v>
      </c>
      <c r="P49" s="76"/>
      <c r="Q49" s="76">
        <v>99647.56</v>
      </c>
      <c r="R49" s="76"/>
      <c r="S49" s="76">
        <v>200</v>
      </c>
      <c r="T49" s="76"/>
      <c r="U49" s="76">
        <v>4120</v>
      </c>
      <c r="V49" s="76"/>
      <c r="W49" s="76">
        <v>1000</v>
      </c>
      <c r="X49" s="76"/>
      <c r="Y49" s="76">
        <v>0</v>
      </c>
      <c r="Z49" s="76"/>
      <c r="AA49" s="76">
        <v>0</v>
      </c>
      <c r="AB49" s="76"/>
      <c r="AC49" s="76">
        <v>0</v>
      </c>
      <c r="AD49" s="76"/>
      <c r="AE49" s="76">
        <f t="shared" si="3"/>
        <v>170671.88</v>
      </c>
      <c r="AF49" s="76"/>
      <c r="AG49" s="76">
        <v>-18289.650000000001</v>
      </c>
      <c r="AH49" s="76"/>
      <c r="AI49" s="76">
        <v>43574.44</v>
      </c>
      <c r="AJ49" s="76"/>
      <c r="AK49" s="76">
        <v>25284.79</v>
      </c>
      <c r="AL49" s="24">
        <f>+'Gen Rev'!AI49-'Gen Exp'!AE49+'Gen Exp'!AI49-AK49</f>
        <v>0</v>
      </c>
      <c r="AM49" s="41" t="str">
        <f>'Gen Rev'!A49</f>
        <v>Bay View</v>
      </c>
      <c r="AN49" s="21" t="str">
        <f t="shared" si="4"/>
        <v>Bay View</v>
      </c>
      <c r="AO49" s="21" t="b">
        <f t="shared" si="5"/>
        <v>1</v>
      </c>
    </row>
    <row r="50" spans="1:41" ht="12" customHeight="1" x14ac:dyDescent="0.2">
      <c r="A50" s="1" t="s">
        <v>539</v>
      </c>
      <c r="C50" s="1" t="s">
        <v>540</v>
      </c>
      <c r="E50" s="76">
        <v>62988</v>
      </c>
      <c r="F50" s="76"/>
      <c r="G50" s="76">
        <v>0</v>
      </c>
      <c r="H50" s="76"/>
      <c r="I50" s="76">
        <v>9904</v>
      </c>
      <c r="J50" s="76"/>
      <c r="K50" s="76">
        <v>0</v>
      </c>
      <c r="L50" s="76"/>
      <c r="M50" s="76">
        <v>0</v>
      </c>
      <c r="N50" s="76"/>
      <c r="O50" s="76">
        <v>6732</v>
      </c>
      <c r="P50" s="76"/>
      <c r="Q50" s="76">
        <v>49931</v>
      </c>
      <c r="R50" s="76"/>
      <c r="S50" s="76">
        <v>1248</v>
      </c>
      <c r="T50" s="76"/>
      <c r="U50" s="76">
        <v>0</v>
      </c>
      <c r="V50" s="76"/>
      <c r="W50" s="76">
        <v>0</v>
      </c>
      <c r="X50" s="76"/>
      <c r="Y50" s="76">
        <v>0</v>
      </c>
      <c r="Z50" s="76"/>
      <c r="AA50" s="76">
        <v>0</v>
      </c>
      <c r="AB50" s="76"/>
      <c r="AC50" s="76">
        <f>1989-1</f>
        <v>1988</v>
      </c>
      <c r="AD50" s="76"/>
      <c r="AE50" s="76">
        <f t="shared" si="3"/>
        <v>132791</v>
      </c>
      <c r="AF50" s="76"/>
      <c r="AG50" s="76">
        <v>11763</v>
      </c>
      <c r="AH50" s="76"/>
      <c r="AI50" s="76">
        <v>9886</v>
      </c>
      <c r="AJ50" s="76"/>
      <c r="AK50" s="76">
        <v>21649</v>
      </c>
      <c r="AL50" s="24">
        <f>+'Gen Rev'!AI50-'Gen Exp'!AE50+'Gen Exp'!AI50-AK50</f>
        <v>0</v>
      </c>
      <c r="AM50" s="41" t="str">
        <f>'Gen Rev'!A50</f>
        <v>Beach</v>
      </c>
      <c r="AN50" s="21" t="str">
        <f t="shared" si="4"/>
        <v>Beach</v>
      </c>
      <c r="AO50" s="21" t="b">
        <f t="shared" si="5"/>
        <v>1</v>
      </c>
    </row>
    <row r="51" spans="1:41" s="21" customFormat="1" ht="12" customHeight="1" x14ac:dyDescent="0.2">
      <c r="A51" s="1" t="s">
        <v>164</v>
      </c>
      <c r="B51" s="1"/>
      <c r="C51" s="1" t="s">
        <v>785</v>
      </c>
      <c r="D51" s="1"/>
      <c r="E51" s="76">
        <v>5889.62</v>
      </c>
      <c r="F51" s="76"/>
      <c r="G51" s="76">
        <v>2825.14</v>
      </c>
      <c r="H51" s="76"/>
      <c r="I51" s="76">
        <v>653.95000000000005</v>
      </c>
      <c r="J51" s="76"/>
      <c r="K51" s="76">
        <v>0</v>
      </c>
      <c r="L51" s="76"/>
      <c r="M51" s="76">
        <v>192</v>
      </c>
      <c r="N51" s="76"/>
      <c r="O51" s="76">
        <v>0</v>
      </c>
      <c r="P51" s="76"/>
      <c r="Q51" s="76">
        <v>33201.11</v>
      </c>
      <c r="R51" s="76"/>
      <c r="S51" s="76">
        <v>0</v>
      </c>
      <c r="T51" s="76"/>
      <c r="U51" s="76">
        <v>0</v>
      </c>
      <c r="V51" s="76"/>
      <c r="W51" s="76">
        <v>0</v>
      </c>
      <c r="X51" s="76"/>
      <c r="Y51" s="76">
        <v>0</v>
      </c>
      <c r="Z51" s="76"/>
      <c r="AA51" s="76">
        <v>0</v>
      </c>
      <c r="AB51" s="76"/>
      <c r="AC51" s="76">
        <v>0</v>
      </c>
      <c r="AD51" s="76"/>
      <c r="AE51" s="76">
        <f t="shared" si="3"/>
        <v>42761.82</v>
      </c>
      <c r="AF51" s="76"/>
      <c r="AG51" s="76">
        <v>-14488.19</v>
      </c>
      <c r="AH51" s="76"/>
      <c r="AI51" s="76">
        <v>51905.98</v>
      </c>
      <c r="AJ51" s="76"/>
      <c r="AK51" s="76">
        <v>37417.79</v>
      </c>
      <c r="AL51" s="24">
        <f>+'Gen Rev'!AI51-'Gen Exp'!AE51+'Gen Exp'!AI51-AK51</f>
        <v>0</v>
      </c>
      <c r="AM51" s="41" t="str">
        <f>'Gen Rev'!A51</f>
        <v>Beallsville</v>
      </c>
      <c r="AN51" s="21" t="str">
        <f t="shared" si="4"/>
        <v>Beallsville</v>
      </c>
      <c r="AO51" s="21" t="b">
        <f t="shared" si="5"/>
        <v>1</v>
      </c>
    </row>
    <row r="52" spans="1:41" s="21" customFormat="1" ht="12" customHeight="1" x14ac:dyDescent="0.2">
      <c r="A52" s="1" t="s">
        <v>193</v>
      </c>
      <c r="B52" s="1"/>
      <c r="C52" s="1" t="s">
        <v>794</v>
      </c>
      <c r="D52" s="23"/>
      <c r="E52" s="76">
        <v>12718.39</v>
      </c>
      <c r="F52" s="76"/>
      <c r="G52" s="76">
        <v>0</v>
      </c>
      <c r="H52" s="76"/>
      <c r="I52" s="76">
        <v>0</v>
      </c>
      <c r="J52" s="76"/>
      <c r="K52" s="76">
        <v>0</v>
      </c>
      <c r="L52" s="76"/>
      <c r="M52" s="76">
        <v>0</v>
      </c>
      <c r="N52" s="76"/>
      <c r="O52" s="76">
        <v>0</v>
      </c>
      <c r="P52" s="76"/>
      <c r="Q52" s="76">
        <v>65406.42</v>
      </c>
      <c r="R52" s="76"/>
      <c r="S52" s="76">
        <v>0</v>
      </c>
      <c r="T52" s="76"/>
      <c r="U52" s="76">
        <v>0</v>
      </c>
      <c r="V52" s="76"/>
      <c r="W52" s="76">
        <v>0</v>
      </c>
      <c r="X52" s="76"/>
      <c r="Y52" s="76">
        <v>3000</v>
      </c>
      <c r="Z52" s="76"/>
      <c r="AA52" s="76">
        <v>15000</v>
      </c>
      <c r="AB52" s="76"/>
      <c r="AC52" s="76">
        <v>0</v>
      </c>
      <c r="AD52" s="76"/>
      <c r="AE52" s="76">
        <f t="shared" si="3"/>
        <v>96124.81</v>
      </c>
      <c r="AF52" s="76"/>
      <c r="AG52" s="76">
        <v>-7007.52</v>
      </c>
      <c r="AH52" s="76"/>
      <c r="AI52" s="76">
        <v>44610.6</v>
      </c>
      <c r="AJ52" s="76"/>
      <c r="AK52" s="76">
        <v>37603.08</v>
      </c>
      <c r="AL52" s="24">
        <f>+'Gen Rev'!AI52-'Gen Exp'!AE52+'Gen Exp'!AI52-AK52</f>
        <v>0</v>
      </c>
      <c r="AM52" s="41" t="str">
        <f>'Gen Rev'!A52</f>
        <v>Beaver</v>
      </c>
      <c r="AN52" s="21" t="str">
        <f t="shared" si="4"/>
        <v>Beaver</v>
      </c>
      <c r="AO52" s="21" t="b">
        <f t="shared" si="5"/>
        <v>1</v>
      </c>
    </row>
    <row r="53" spans="1:41" ht="12" customHeight="1" x14ac:dyDescent="0.2">
      <c r="A53" s="1" t="s">
        <v>2</v>
      </c>
      <c r="C53" s="1" t="s">
        <v>737</v>
      </c>
      <c r="D53" s="23"/>
      <c r="E53" s="76">
        <v>10706</v>
      </c>
      <c r="F53" s="76"/>
      <c r="G53" s="76">
        <v>0</v>
      </c>
      <c r="H53" s="76"/>
      <c r="I53" s="76">
        <v>609.6</v>
      </c>
      <c r="J53" s="76"/>
      <c r="K53" s="76">
        <v>0</v>
      </c>
      <c r="L53" s="76"/>
      <c r="M53" s="76">
        <v>0</v>
      </c>
      <c r="N53" s="76"/>
      <c r="O53" s="76">
        <v>0</v>
      </c>
      <c r="P53" s="76"/>
      <c r="Q53" s="76">
        <v>49756.959999999999</v>
      </c>
      <c r="R53" s="76"/>
      <c r="S53" s="76">
        <v>3237.66</v>
      </c>
      <c r="T53" s="76"/>
      <c r="U53" s="76">
        <v>0</v>
      </c>
      <c r="V53" s="76"/>
      <c r="W53" s="76">
        <v>0</v>
      </c>
      <c r="X53" s="76"/>
      <c r="Y53" s="76">
        <v>0</v>
      </c>
      <c r="Z53" s="76"/>
      <c r="AA53" s="76">
        <v>0</v>
      </c>
      <c r="AB53" s="76"/>
      <c r="AC53" s="76">
        <v>189.72</v>
      </c>
      <c r="AD53" s="76"/>
      <c r="AE53" s="76">
        <f t="shared" si="3"/>
        <v>64499.94</v>
      </c>
      <c r="AF53" s="76"/>
      <c r="AG53" s="76">
        <v>-11405.67</v>
      </c>
      <c r="AH53" s="76"/>
      <c r="AI53" s="76">
        <v>32587.99</v>
      </c>
      <c r="AJ53" s="76"/>
      <c r="AK53" s="76">
        <v>21182.32</v>
      </c>
      <c r="AL53" s="24">
        <f>+'Gen Rev'!AI53-'Gen Exp'!AE53+'Gen Exp'!AI53-AK53</f>
        <v>0</v>
      </c>
      <c r="AM53" s="41" t="str">
        <f>'Gen Rev'!A53</f>
        <v>Beaverdam</v>
      </c>
      <c r="AN53" s="21" t="str">
        <f t="shared" si="4"/>
        <v>Beaverdam</v>
      </c>
      <c r="AO53" s="21" t="b">
        <f t="shared" si="5"/>
        <v>1</v>
      </c>
    </row>
    <row r="54" spans="1:41" ht="12" customHeight="1" x14ac:dyDescent="0.2">
      <c r="A54" s="1" t="s">
        <v>280</v>
      </c>
      <c r="C54" s="1" t="s">
        <v>279</v>
      </c>
      <c r="E54" s="76">
        <v>793683</v>
      </c>
      <c r="F54" s="76"/>
      <c r="G54" s="76">
        <v>0</v>
      </c>
      <c r="H54" s="76"/>
      <c r="I54" s="76">
        <v>0</v>
      </c>
      <c r="J54" s="76"/>
      <c r="K54" s="76">
        <v>0</v>
      </c>
      <c r="L54" s="76"/>
      <c r="M54" s="76">
        <v>0</v>
      </c>
      <c r="N54" s="76"/>
      <c r="O54" s="76">
        <v>0</v>
      </c>
      <c r="P54" s="76"/>
      <c r="Q54" s="76">
        <v>734029</v>
      </c>
      <c r="R54" s="76"/>
      <c r="S54" s="76">
        <v>0</v>
      </c>
      <c r="T54" s="76"/>
      <c r="U54" s="76">
        <v>2590</v>
      </c>
      <c r="V54" s="76"/>
      <c r="W54" s="76">
        <v>337</v>
      </c>
      <c r="X54" s="76"/>
      <c r="Y54" s="76">
        <v>0</v>
      </c>
      <c r="Z54" s="76"/>
      <c r="AA54" s="76">
        <v>0</v>
      </c>
      <c r="AB54" s="76"/>
      <c r="AC54" s="76">
        <v>0</v>
      </c>
      <c r="AD54" s="76"/>
      <c r="AE54" s="76">
        <f t="shared" si="3"/>
        <v>1530639</v>
      </c>
      <c r="AF54" s="76"/>
      <c r="AG54" s="76">
        <v>-254901</v>
      </c>
      <c r="AH54" s="76"/>
      <c r="AI54" s="76">
        <v>597516</v>
      </c>
      <c r="AJ54" s="76"/>
      <c r="AK54" s="76">
        <v>342615</v>
      </c>
      <c r="AL54" s="24">
        <f>+'Gen Rev'!AI54-'Gen Exp'!AE54+'Gen Exp'!AI54-AK54</f>
        <v>0</v>
      </c>
      <c r="AM54" s="41" t="str">
        <f>'Gen Rev'!A54</f>
        <v>Bellaire</v>
      </c>
      <c r="AN54" s="21" t="str">
        <f t="shared" si="4"/>
        <v>Bellaire</v>
      </c>
      <c r="AO54" s="21" t="b">
        <f t="shared" si="5"/>
        <v>1</v>
      </c>
    </row>
    <row r="55" spans="1:41" s="31" customFormat="1" ht="12" customHeight="1" x14ac:dyDescent="0.2">
      <c r="A55" s="1" t="s">
        <v>132</v>
      </c>
      <c r="B55" s="1"/>
      <c r="C55" s="1" t="s">
        <v>775</v>
      </c>
      <c r="D55" s="23"/>
      <c r="E55" s="76">
        <v>20133.650000000001</v>
      </c>
      <c r="F55" s="76"/>
      <c r="G55" s="76">
        <v>4887.6899999999996</v>
      </c>
      <c r="H55" s="76"/>
      <c r="I55" s="76">
        <v>0</v>
      </c>
      <c r="J55" s="76"/>
      <c r="K55" s="76">
        <v>76.36</v>
      </c>
      <c r="L55" s="76"/>
      <c r="M55" s="76">
        <v>250</v>
      </c>
      <c r="N55" s="76"/>
      <c r="O55" s="76">
        <v>56995.13</v>
      </c>
      <c r="P55" s="76"/>
      <c r="Q55" s="76">
        <v>90481.23</v>
      </c>
      <c r="R55" s="76"/>
      <c r="S55" s="76">
        <v>0</v>
      </c>
      <c r="T55" s="76"/>
      <c r="U55" s="76">
        <v>2400</v>
      </c>
      <c r="V55" s="76"/>
      <c r="W55" s="76">
        <v>469.28</v>
      </c>
      <c r="X55" s="76"/>
      <c r="Y55" s="76">
        <v>1585.83</v>
      </c>
      <c r="Z55" s="76"/>
      <c r="AA55" s="76">
        <v>0</v>
      </c>
      <c r="AB55" s="76"/>
      <c r="AC55" s="76">
        <v>347.6</v>
      </c>
      <c r="AD55" s="76"/>
      <c r="AE55" s="76">
        <f t="shared" si="3"/>
        <v>177626.77</v>
      </c>
      <c r="AF55" s="76"/>
      <c r="AG55" s="76">
        <v>32693.51</v>
      </c>
      <c r="AH55" s="76"/>
      <c r="AI55" s="76">
        <v>91944.45</v>
      </c>
      <c r="AJ55" s="76"/>
      <c r="AK55" s="76">
        <v>124637.96</v>
      </c>
      <c r="AL55" s="24">
        <f>+'Gen Rev'!AI55-'Gen Exp'!AE55+'Gen Exp'!AI55-AK55</f>
        <v>0</v>
      </c>
      <c r="AM55" s="41" t="str">
        <f>'Gen Rev'!A55</f>
        <v>Belle Center</v>
      </c>
      <c r="AN55" s="21" t="str">
        <f t="shared" si="4"/>
        <v>Belle Center</v>
      </c>
      <c r="AO55" s="21" t="b">
        <f t="shared" si="5"/>
        <v>1</v>
      </c>
    </row>
    <row r="56" spans="1:41" ht="12" customHeight="1" x14ac:dyDescent="0.2">
      <c r="A56" s="15" t="s">
        <v>491</v>
      </c>
      <c r="B56" s="15"/>
      <c r="C56" s="15" t="s">
        <v>490</v>
      </c>
      <c r="D56" s="15"/>
      <c r="E56" s="76">
        <v>5257</v>
      </c>
      <c r="F56" s="76"/>
      <c r="G56" s="76">
        <v>0</v>
      </c>
      <c r="H56" s="76"/>
      <c r="I56" s="76">
        <v>0</v>
      </c>
      <c r="J56" s="76"/>
      <c r="K56" s="76">
        <v>275</v>
      </c>
      <c r="L56" s="76"/>
      <c r="M56" s="76">
        <v>3614</v>
      </c>
      <c r="N56" s="76"/>
      <c r="O56" s="76">
        <v>5516</v>
      </c>
      <c r="P56" s="76"/>
      <c r="Q56" s="76">
        <v>9649</v>
      </c>
      <c r="R56" s="76"/>
      <c r="S56" s="76">
        <v>0</v>
      </c>
      <c r="T56" s="76"/>
      <c r="U56" s="76">
        <v>0</v>
      </c>
      <c r="V56" s="76"/>
      <c r="W56" s="76">
        <v>0</v>
      </c>
      <c r="X56" s="76"/>
      <c r="Y56" s="76">
        <v>0</v>
      </c>
      <c r="Z56" s="76"/>
      <c r="AA56" s="76">
        <v>0</v>
      </c>
      <c r="AB56" s="76"/>
      <c r="AC56" s="76">
        <v>0</v>
      </c>
      <c r="AD56" s="76"/>
      <c r="AE56" s="76">
        <f t="shared" si="3"/>
        <v>24311</v>
      </c>
      <c r="AF56" s="76"/>
      <c r="AG56" s="76">
        <v>4680</v>
      </c>
      <c r="AH56" s="76"/>
      <c r="AI56" s="76">
        <v>16581</v>
      </c>
      <c r="AJ56" s="76"/>
      <c r="AK56" s="76">
        <v>21261</v>
      </c>
      <c r="AL56" s="24">
        <f>+'Gen Rev'!AI56-'Gen Exp'!AE56+'Gen Exp'!AI56-AK56</f>
        <v>0</v>
      </c>
      <c r="AM56" s="41" t="str">
        <f>'Gen Rev'!A56</f>
        <v>Belle Valley</v>
      </c>
      <c r="AN56" s="21" t="str">
        <f t="shared" si="4"/>
        <v>Belle Valley</v>
      </c>
      <c r="AO56" s="21" t="b">
        <f t="shared" si="5"/>
        <v>1</v>
      </c>
    </row>
    <row r="57" spans="1:41" ht="12" customHeight="1" x14ac:dyDescent="0.2">
      <c r="A57" s="1" t="s">
        <v>208</v>
      </c>
      <c r="C57" s="1" t="s">
        <v>798</v>
      </c>
      <c r="D57" s="23"/>
      <c r="E57" s="76">
        <v>338519.67</v>
      </c>
      <c r="F57" s="76"/>
      <c r="G57" s="76">
        <v>0</v>
      </c>
      <c r="H57" s="76"/>
      <c r="I57" s="76">
        <v>31629.119999999999</v>
      </c>
      <c r="J57" s="76"/>
      <c r="K57" s="76">
        <v>3283.82</v>
      </c>
      <c r="L57" s="76"/>
      <c r="M57" s="76">
        <v>0</v>
      </c>
      <c r="N57" s="76"/>
      <c r="O57" s="76">
        <v>0</v>
      </c>
      <c r="P57" s="76"/>
      <c r="Q57" s="76">
        <v>240702.53</v>
      </c>
      <c r="R57" s="76"/>
      <c r="S57" s="76">
        <v>0</v>
      </c>
      <c r="T57" s="76"/>
      <c r="U57" s="76">
        <v>0</v>
      </c>
      <c r="V57" s="76"/>
      <c r="W57" s="76">
        <v>0</v>
      </c>
      <c r="X57" s="76"/>
      <c r="Y57" s="76">
        <v>108743.18</v>
      </c>
      <c r="Z57" s="76"/>
      <c r="AA57" s="76">
        <v>0</v>
      </c>
      <c r="AB57" s="76"/>
      <c r="AC57" s="76">
        <v>0</v>
      </c>
      <c r="AD57" s="76"/>
      <c r="AE57" s="76">
        <f t="shared" si="3"/>
        <v>722878.32000000007</v>
      </c>
      <c r="AF57" s="76"/>
      <c r="AG57" s="76">
        <v>47726.02</v>
      </c>
      <c r="AH57" s="76"/>
      <c r="AI57" s="76">
        <v>237383.32</v>
      </c>
      <c r="AJ57" s="76"/>
      <c r="AK57" s="76">
        <v>285109.34000000003</v>
      </c>
      <c r="AL57" s="24">
        <f>+'Gen Rev'!AI57-'Gen Exp'!AE57+'Gen Exp'!AI57-AK57</f>
        <v>0</v>
      </c>
      <c r="AM57" s="41" t="str">
        <f>'Gen Rev'!A57</f>
        <v>Bellville</v>
      </c>
      <c r="AN57" s="21" t="str">
        <f t="shared" si="4"/>
        <v>Bellville</v>
      </c>
      <c r="AO57" s="21" t="b">
        <f t="shared" si="5"/>
        <v>1</v>
      </c>
    </row>
    <row r="58" spans="1:41" ht="12" customHeight="1" x14ac:dyDescent="0.2">
      <c r="A58" s="1" t="s">
        <v>279</v>
      </c>
      <c r="C58" s="1" t="s">
        <v>279</v>
      </c>
      <c r="D58" s="23"/>
      <c r="E58" s="76">
        <v>2277.79</v>
      </c>
      <c r="F58" s="76"/>
      <c r="G58" s="76">
        <v>0</v>
      </c>
      <c r="H58" s="76"/>
      <c r="I58" s="76">
        <v>16048.2</v>
      </c>
      <c r="J58" s="76"/>
      <c r="K58" s="76">
        <v>0</v>
      </c>
      <c r="L58" s="76"/>
      <c r="M58" s="76">
        <v>1971.58</v>
      </c>
      <c r="N58" s="76"/>
      <c r="O58" s="76">
        <v>1344</v>
      </c>
      <c r="P58" s="76"/>
      <c r="Q58" s="76">
        <v>34831.49</v>
      </c>
      <c r="R58" s="76"/>
      <c r="S58" s="76">
        <v>0</v>
      </c>
      <c r="T58" s="76"/>
      <c r="U58" s="76">
        <v>0</v>
      </c>
      <c r="V58" s="76"/>
      <c r="W58" s="76">
        <v>0</v>
      </c>
      <c r="X58" s="76"/>
      <c r="Y58" s="76">
        <v>351.08</v>
      </c>
      <c r="Z58" s="76"/>
      <c r="AA58" s="76">
        <v>0</v>
      </c>
      <c r="AB58" s="76"/>
      <c r="AC58" s="76">
        <v>0</v>
      </c>
      <c r="AD58" s="76"/>
      <c r="AE58" s="76">
        <f t="shared" si="3"/>
        <v>56824.14</v>
      </c>
      <c r="AF58" s="76"/>
      <c r="AG58" s="76">
        <v>8164.93</v>
      </c>
      <c r="AH58" s="76"/>
      <c r="AI58" s="76">
        <v>18426.47</v>
      </c>
      <c r="AJ58" s="76"/>
      <c r="AK58" s="76">
        <v>26591.4</v>
      </c>
      <c r="AL58" s="24">
        <f>+'Gen Rev'!AI58-'Gen Exp'!AE58+'Gen Exp'!AI58-AK58</f>
        <v>0</v>
      </c>
      <c r="AM58" s="41" t="str">
        <f>'Gen Rev'!A58</f>
        <v>Belmont</v>
      </c>
      <c r="AN58" s="21" t="str">
        <f t="shared" si="4"/>
        <v>Belmont</v>
      </c>
      <c r="AO58" s="21" t="b">
        <f t="shared" si="5"/>
        <v>1</v>
      </c>
    </row>
    <row r="59" spans="1:41" ht="12" customHeight="1" x14ac:dyDescent="0.2">
      <c r="A59" s="1" t="s">
        <v>916</v>
      </c>
      <c r="C59" s="1" t="s">
        <v>513</v>
      </c>
      <c r="D59" s="23"/>
      <c r="E59" s="76">
        <v>0</v>
      </c>
      <c r="F59" s="76"/>
      <c r="G59" s="76">
        <v>0</v>
      </c>
      <c r="H59" s="76"/>
      <c r="I59" s="76">
        <v>127.31</v>
      </c>
      <c r="J59" s="76"/>
      <c r="K59" s="76">
        <v>1700.92</v>
      </c>
      <c r="L59" s="76"/>
      <c r="M59" s="76">
        <v>0</v>
      </c>
      <c r="N59" s="76"/>
      <c r="O59" s="76">
        <v>0</v>
      </c>
      <c r="P59" s="76"/>
      <c r="Q59" s="76">
        <v>30714.14</v>
      </c>
      <c r="R59" s="76"/>
      <c r="S59" s="76">
        <v>0</v>
      </c>
      <c r="T59" s="76"/>
      <c r="U59" s="76">
        <v>0</v>
      </c>
      <c r="V59" s="76"/>
      <c r="W59" s="76">
        <v>0</v>
      </c>
      <c r="X59" s="76"/>
      <c r="Y59" s="76">
        <v>3852.24</v>
      </c>
      <c r="Z59" s="76"/>
      <c r="AA59" s="76">
        <v>0</v>
      </c>
      <c r="AB59" s="76"/>
      <c r="AC59" s="76">
        <v>0</v>
      </c>
      <c r="AD59" s="76"/>
      <c r="AE59" s="76">
        <f t="shared" si="3"/>
        <v>36394.61</v>
      </c>
      <c r="AF59" s="76"/>
      <c r="AG59" s="76">
        <v>-1947.63</v>
      </c>
      <c r="AH59" s="76"/>
      <c r="AI59" s="76">
        <v>46314.63</v>
      </c>
      <c r="AJ59" s="76"/>
      <c r="AK59" s="76">
        <v>44367</v>
      </c>
      <c r="AL59" s="24">
        <f>+'Gen Rev'!AI59-'Gen Exp'!AE59+'Gen Exp'!AI59-AK59</f>
        <v>0</v>
      </c>
      <c r="AM59" s="41" t="str">
        <f>'Gen Rev'!A59</f>
        <v>Belmore</v>
      </c>
      <c r="AN59" s="21" t="str">
        <f t="shared" si="4"/>
        <v>Belmore</v>
      </c>
      <c r="AO59" s="21" t="b">
        <f t="shared" si="5"/>
        <v>1</v>
      </c>
    </row>
    <row r="60" spans="1:41" ht="12" customHeight="1" x14ac:dyDescent="0.2">
      <c r="A60" s="1" t="s">
        <v>143</v>
      </c>
      <c r="C60" s="1" t="s">
        <v>779</v>
      </c>
      <c r="D60" s="23"/>
      <c r="E60" s="76">
        <v>6485.26</v>
      </c>
      <c r="F60" s="76"/>
      <c r="G60" s="76">
        <v>0</v>
      </c>
      <c r="H60" s="76"/>
      <c r="I60" s="76">
        <v>0</v>
      </c>
      <c r="J60" s="76"/>
      <c r="K60" s="76">
        <v>0</v>
      </c>
      <c r="L60" s="76"/>
      <c r="M60" s="76">
        <v>0</v>
      </c>
      <c r="N60" s="76"/>
      <c r="O60" s="76">
        <v>0</v>
      </c>
      <c r="P60" s="76"/>
      <c r="Q60" s="76">
        <v>51755.5</v>
      </c>
      <c r="R60" s="76"/>
      <c r="S60" s="76">
        <v>0</v>
      </c>
      <c r="T60" s="76"/>
      <c r="U60" s="76">
        <v>11775.68</v>
      </c>
      <c r="V60" s="76"/>
      <c r="W60" s="76">
        <v>1224.32</v>
      </c>
      <c r="X60" s="76"/>
      <c r="Y60" s="76">
        <v>0</v>
      </c>
      <c r="Z60" s="76"/>
      <c r="AA60" s="76">
        <v>0</v>
      </c>
      <c r="AB60" s="76"/>
      <c r="AC60" s="76">
        <v>0</v>
      </c>
      <c r="AD60" s="76"/>
      <c r="AE60" s="76">
        <f t="shared" si="3"/>
        <v>71240.760000000009</v>
      </c>
      <c r="AF60" s="76"/>
      <c r="AG60" s="76">
        <v>27279.11</v>
      </c>
      <c r="AH60" s="76"/>
      <c r="AI60" s="76">
        <v>13181.68</v>
      </c>
      <c r="AJ60" s="76"/>
      <c r="AK60" s="76">
        <v>40460.79</v>
      </c>
      <c r="AL60" s="24">
        <f>+'Gen Rev'!AI60-'Gen Exp'!AE60+'Gen Exp'!AI60-AK60</f>
        <v>0</v>
      </c>
      <c r="AM60" s="41" t="str">
        <f>'Gen Rev'!A60</f>
        <v>Beloit</v>
      </c>
      <c r="AN60" s="21" t="str">
        <f t="shared" si="4"/>
        <v>Beloit</v>
      </c>
      <c r="AO60" s="21" t="b">
        <f t="shared" si="5"/>
        <v>1</v>
      </c>
    </row>
    <row r="61" spans="1:41" s="21" customFormat="1" ht="12" customHeight="1" x14ac:dyDescent="0.2">
      <c r="A61" s="1" t="s">
        <v>315</v>
      </c>
      <c r="B61" s="1"/>
      <c r="C61" s="1" t="s">
        <v>316</v>
      </c>
      <c r="D61" s="1"/>
      <c r="E61" s="76">
        <v>684479</v>
      </c>
      <c r="F61" s="76"/>
      <c r="G61" s="76">
        <v>0</v>
      </c>
      <c r="H61" s="76"/>
      <c r="I61" s="76">
        <v>1454</v>
      </c>
      <c r="J61" s="76"/>
      <c r="K61" s="76">
        <v>0</v>
      </c>
      <c r="L61" s="76"/>
      <c r="M61" s="76">
        <v>59546</v>
      </c>
      <c r="N61" s="76"/>
      <c r="O61" s="76">
        <v>186822</v>
      </c>
      <c r="P61" s="76"/>
      <c r="Q61" s="76">
        <v>373627</v>
      </c>
      <c r="R61" s="76"/>
      <c r="S61" s="76">
        <v>49293</v>
      </c>
      <c r="T61" s="76"/>
      <c r="U61" s="76">
        <v>0</v>
      </c>
      <c r="V61" s="76"/>
      <c r="W61" s="76">
        <v>0</v>
      </c>
      <c r="X61" s="76"/>
      <c r="Y61" s="76">
        <v>169302</v>
      </c>
      <c r="Z61" s="76"/>
      <c r="AA61" s="76">
        <v>0</v>
      </c>
      <c r="AB61" s="76"/>
      <c r="AC61" s="76">
        <v>0</v>
      </c>
      <c r="AD61" s="76"/>
      <c r="AE61" s="76">
        <f t="shared" si="3"/>
        <v>1524523</v>
      </c>
      <c r="AF61" s="76"/>
      <c r="AG61" s="76">
        <v>145372</v>
      </c>
      <c r="AH61" s="76"/>
      <c r="AI61" s="76">
        <v>744171</v>
      </c>
      <c r="AJ61" s="76"/>
      <c r="AK61" s="76">
        <v>889543</v>
      </c>
      <c r="AL61" s="24">
        <f>+'Gen Rev'!AI61-'Gen Exp'!AE61+'Gen Exp'!AI61-AK61</f>
        <v>0</v>
      </c>
      <c r="AM61" s="41" t="str">
        <f>'Gen Rev'!A61</f>
        <v>Bentleyville</v>
      </c>
      <c r="AN61" s="21" t="str">
        <f t="shared" si="4"/>
        <v>Bentleyville</v>
      </c>
      <c r="AO61" s="21" t="b">
        <f t="shared" si="5"/>
        <v>1</v>
      </c>
    </row>
    <row r="62" spans="1:41" s="21" customFormat="1" ht="12" customHeight="1" x14ac:dyDescent="0.2">
      <c r="A62" s="1" t="s">
        <v>878</v>
      </c>
      <c r="B62" s="1"/>
      <c r="C62" s="1" t="s">
        <v>388</v>
      </c>
      <c r="D62" s="1"/>
      <c r="E62" s="76">
        <v>2809</v>
      </c>
      <c r="F62" s="76"/>
      <c r="G62" s="76">
        <v>1159</v>
      </c>
      <c r="H62" s="76"/>
      <c r="I62" s="76">
        <v>1992</v>
      </c>
      <c r="J62" s="76"/>
      <c r="K62" s="76">
        <v>0</v>
      </c>
      <c r="L62" s="76"/>
      <c r="M62" s="76">
        <v>1002</v>
      </c>
      <c r="N62" s="76"/>
      <c r="O62" s="76">
        <v>0</v>
      </c>
      <c r="P62" s="76"/>
      <c r="Q62" s="76">
        <v>31012</v>
      </c>
      <c r="R62" s="76"/>
      <c r="S62" s="76">
        <v>0</v>
      </c>
      <c r="T62" s="76"/>
      <c r="U62" s="76">
        <v>0</v>
      </c>
      <c r="V62" s="76"/>
      <c r="W62" s="76">
        <v>0</v>
      </c>
      <c r="X62" s="76"/>
      <c r="Y62" s="76">
        <v>0</v>
      </c>
      <c r="Z62" s="76"/>
      <c r="AA62" s="76">
        <v>0</v>
      </c>
      <c r="AB62" s="76"/>
      <c r="AC62" s="76">
        <v>0</v>
      </c>
      <c r="AD62" s="76"/>
      <c r="AE62" s="76">
        <f t="shared" si="3"/>
        <v>37974</v>
      </c>
      <c r="AF62" s="76"/>
      <c r="AG62" s="76">
        <v>-3360</v>
      </c>
      <c r="AH62" s="76"/>
      <c r="AI62" s="76" t="s">
        <v>956</v>
      </c>
      <c r="AJ62" s="76"/>
      <c r="AK62" s="76" t="s">
        <v>956</v>
      </c>
      <c r="AL62" s="24" t="e">
        <f>+'Gen Rev'!AI62-'Gen Exp'!AE62+'Gen Exp'!AI62-AK62</f>
        <v>#VALUE!</v>
      </c>
      <c r="AM62" s="41" t="str">
        <f>'Gen Rev'!A62</f>
        <v>Benton Ridge</v>
      </c>
      <c r="AN62" s="21" t="str">
        <f t="shared" si="4"/>
        <v>Benton Ridge</v>
      </c>
      <c r="AO62" s="21" t="b">
        <f t="shared" si="5"/>
        <v>1</v>
      </c>
    </row>
    <row r="63" spans="1:41" s="21" customFormat="1" ht="12" customHeight="1" x14ac:dyDescent="0.2">
      <c r="A63" s="1" t="s">
        <v>422</v>
      </c>
      <c r="B63" s="1"/>
      <c r="C63" s="1" t="s">
        <v>420</v>
      </c>
      <c r="D63" s="1"/>
      <c r="E63" s="76">
        <v>13882.51</v>
      </c>
      <c r="F63" s="76"/>
      <c r="G63" s="76">
        <v>0</v>
      </c>
      <c r="H63" s="76"/>
      <c r="I63" s="76">
        <v>0</v>
      </c>
      <c r="J63" s="76"/>
      <c r="K63" s="76">
        <v>0</v>
      </c>
      <c r="L63" s="76"/>
      <c r="M63" s="76">
        <v>9726.34</v>
      </c>
      <c r="N63" s="76"/>
      <c r="O63" s="76">
        <v>0</v>
      </c>
      <c r="P63" s="76"/>
      <c r="Q63" s="76">
        <v>23559.13</v>
      </c>
      <c r="R63" s="76"/>
      <c r="S63" s="76">
        <v>0</v>
      </c>
      <c r="T63" s="76"/>
      <c r="U63" s="76">
        <v>0</v>
      </c>
      <c r="V63" s="76"/>
      <c r="W63" s="76">
        <v>0</v>
      </c>
      <c r="X63" s="76"/>
      <c r="Y63" s="76">
        <v>0</v>
      </c>
      <c r="Z63" s="76"/>
      <c r="AA63" s="76">
        <v>0</v>
      </c>
      <c r="AB63" s="76"/>
      <c r="AC63" s="76">
        <v>23055.27</v>
      </c>
      <c r="AD63" s="76"/>
      <c r="AE63" s="76">
        <f t="shared" si="3"/>
        <v>70223.25</v>
      </c>
      <c r="AF63" s="76"/>
      <c r="AG63" s="76">
        <v>-6279.87</v>
      </c>
      <c r="AH63" s="76"/>
      <c r="AI63" s="76">
        <v>59573.760000000002</v>
      </c>
      <c r="AJ63" s="76"/>
      <c r="AK63" s="76">
        <v>53293.89</v>
      </c>
      <c r="AL63" s="24">
        <f>+'Gen Rev'!AI63-'Gen Exp'!AE63+'Gen Exp'!AI63-AK63</f>
        <v>0</v>
      </c>
      <c r="AM63" s="41" t="str">
        <f>'Gen Rev'!A63</f>
        <v>Bergholz</v>
      </c>
      <c r="AN63" s="21" t="str">
        <f t="shared" si="4"/>
        <v>Bergholz</v>
      </c>
      <c r="AO63" s="21" t="b">
        <f t="shared" si="5"/>
        <v>1</v>
      </c>
    </row>
    <row r="64" spans="1:41" ht="12" customHeight="1" x14ac:dyDescent="0.2">
      <c r="A64" s="1" t="s">
        <v>139</v>
      </c>
      <c r="C64" s="1" t="s">
        <v>777</v>
      </c>
      <c r="D64" s="23"/>
      <c r="E64" s="76">
        <v>37196.31</v>
      </c>
      <c r="F64" s="76"/>
      <c r="G64" s="76">
        <v>4985.8500000000004</v>
      </c>
      <c r="H64" s="76"/>
      <c r="I64" s="76">
        <v>15870.7</v>
      </c>
      <c r="J64" s="76"/>
      <c r="K64" s="76">
        <v>0</v>
      </c>
      <c r="L64" s="76"/>
      <c r="M64" s="76">
        <v>0</v>
      </c>
      <c r="N64" s="76"/>
      <c r="O64" s="76">
        <v>0</v>
      </c>
      <c r="P64" s="76"/>
      <c r="Q64" s="76">
        <v>53182.12</v>
      </c>
      <c r="R64" s="76"/>
      <c r="S64" s="76">
        <v>0</v>
      </c>
      <c r="T64" s="76"/>
      <c r="U64" s="76">
        <v>0</v>
      </c>
      <c r="V64" s="76"/>
      <c r="W64" s="76">
        <v>0</v>
      </c>
      <c r="X64" s="76"/>
      <c r="Y64" s="76">
        <v>0</v>
      </c>
      <c r="Z64" s="76"/>
      <c r="AA64" s="76">
        <v>0</v>
      </c>
      <c r="AB64" s="76"/>
      <c r="AC64" s="76">
        <v>0</v>
      </c>
      <c r="AD64" s="76"/>
      <c r="AE64" s="76">
        <f t="shared" si="3"/>
        <v>111234.98000000001</v>
      </c>
      <c r="AF64" s="76"/>
      <c r="AG64" s="76">
        <v>-4870.75</v>
      </c>
      <c r="AH64" s="76"/>
      <c r="AI64" s="76">
        <v>63743.66</v>
      </c>
      <c r="AJ64" s="76"/>
      <c r="AK64" s="76">
        <v>58872.91</v>
      </c>
      <c r="AL64" s="24">
        <f>+'Gen Rev'!AI64-'Gen Exp'!AE64+'Gen Exp'!AI64-AK64</f>
        <v>0</v>
      </c>
      <c r="AM64" s="41" t="str">
        <f>'Gen Rev'!A64</f>
        <v>Berkey</v>
      </c>
      <c r="AN64" s="21" t="str">
        <f t="shared" si="4"/>
        <v>Berkey</v>
      </c>
      <c r="AO64" s="21" t="b">
        <f t="shared" si="5"/>
        <v>1</v>
      </c>
    </row>
    <row r="65" spans="1:41" s="21" customFormat="1" ht="12" customHeight="1" x14ac:dyDescent="0.2">
      <c r="A65" s="1" t="s">
        <v>59</v>
      </c>
      <c r="B65" s="1"/>
      <c r="C65" s="1" t="s">
        <v>755</v>
      </c>
      <c r="D65" s="1"/>
      <c r="E65" s="76">
        <v>126416.76</v>
      </c>
      <c r="F65" s="76"/>
      <c r="G65" s="76">
        <v>11070</v>
      </c>
      <c r="H65" s="76"/>
      <c r="I65" s="76">
        <v>3245.96</v>
      </c>
      <c r="J65" s="76"/>
      <c r="K65" s="76">
        <v>363.87</v>
      </c>
      <c r="L65" s="76"/>
      <c r="M65" s="76">
        <v>916.24</v>
      </c>
      <c r="N65" s="76"/>
      <c r="O65" s="76">
        <v>30816.22</v>
      </c>
      <c r="P65" s="76"/>
      <c r="Q65" s="76">
        <v>73582.539999999994</v>
      </c>
      <c r="R65" s="76"/>
      <c r="S65" s="76">
        <v>0</v>
      </c>
      <c r="T65" s="76"/>
      <c r="U65" s="76">
        <v>0</v>
      </c>
      <c r="V65" s="76"/>
      <c r="W65" s="76">
        <v>0</v>
      </c>
      <c r="X65" s="76"/>
      <c r="Y65" s="76">
        <v>0</v>
      </c>
      <c r="Z65" s="76"/>
      <c r="AA65" s="76">
        <v>0</v>
      </c>
      <c r="AB65" s="76"/>
      <c r="AC65" s="76">
        <v>485.66</v>
      </c>
      <c r="AD65" s="76"/>
      <c r="AE65" s="76">
        <f t="shared" si="3"/>
        <v>246897.24999999997</v>
      </c>
      <c r="AF65" s="76"/>
      <c r="AG65" s="76">
        <v>-61671.96</v>
      </c>
      <c r="AH65" s="76"/>
      <c r="AI65" s="76">
        <v>204690.86</v>
      </c>
      <c r="AJ65" s="76"/>
      <c r="AK65" s="76">
        <v>143018.9</v>
      </c>
      <c r="AL65" s="24">
        <f>+'Gen Rev'!AI65-'Gen Exp'!AE65+'Gen Exp'!AI65-AK65</f>
        <v>0</v>
      </c>
      <c r="AM65" s="41" t="str">
        <f>'Gen Rev'!A65</f>
        <v>Berlin Heights</v>
      </c>
      <c r="AN65" s="21" t="str">
        <f t="shared" si="4"/>
        <v>Berlin Heights</v>
      </c>
      <c r="AO65" s="21" t="b">
        <f t="shared" si="5"/>
        <v>1</v>
      </c>
    </row>
    <row r="66" spans="1:41" s="21" customFormat="1" ht="12" customHeight="1" x14ac:dyDescent="0.2">
      <c r="A66" s="1" t="s">
        <v>296</v>
      </c>
      <c r="B66" s="1"/>
      <c r="C66" s="1" t="s">
        <v>295</v>
      </c>
      <c r="D66" s="1"/>
      <c r="E66" s="76">
        <v>244148.06</v>
      </c>
      <c r="F66" s="76"/>
      <c r="G66" s="76">
        <v>6230.07</v>
      </c>
      <c r="H66" s="76"/>
      <c r="I66" s="76">
        <v>5862.99</v>
      </c>
      <c r="J66" s="76"/>
      <c r="K66" s="76">
        <v>5587.15</v>
      </c>
      <c r="L66" s="76"/>
      <c r="M66" s="76">
        <v>0</v>
      </c>
      <c r="N66" s="76"/>
      <c r="O66" s="76">
        <v>0</v>
      </c>
      <c r="P66" s="76"/>
      <c r="Q66" s="76">
        <v>99021.42</v>
      </c>
      <c r="R66" s="76"/>
      <c r="S66" s="76">
        <v>0</v>
      </c>
      <c r="T66" s="76"/>
      <c r="U66" s="76">
        <v>8603.39</v>
      </c>
      <c r="V66" s="76"/>
      <c r="W66" s="76">
        <v>0</v>
      </c>
      <c r="X66" s="76"/>
      <c r="Y66" s="76">
        <v>0</v>
      </c>
      <c r="Z66" s="76"/>
      <c r="AA66" s="76">
        <v>0</v>
      </c>
      <c r="AB66" s="76"/>
      <c r="AC66" s="76">
        <v>0</v>
      </c>
      <c r="AD66" s="76"/>
      <c r="AE66" s="76">
        <f t="shared" si="3"/>
        <v>369453.08</v>
      </c>
      <c r="AF66" s="76"/>
      <c r="AG66" s="76">
        <v>135929.60999999999</v>
      </c>
      <c r="AH66" s="76"/>
      <c r="AI66" s="76">
        <v>4024.41</v>
      </c>
      <c r="AJ66" s="76"/>
      <c r="AK66" s="76">
        <v>139954.01999999999</v>
      </c>
      <c r="AL66" s="24">
        <f>+'Gen Rev'!AI66-'Gen Exp'!AE66+'Gen Exp'!AI66-AK66</f>
        <v>0</v>
      </c>
      <c r="AM66" s="41" t="str">
        <f>'Gen Rev'!A66</f>
        <v>Bethel</v>
      </c>
      <c r="AN66" s="21" t="str">
        <f t="shared" si="4"/>
        <v>Bethel</v>
      </c>
      <c r="AO66" s="21" t="b">
        <f t="shared" si="5"/>
        <v>1</v>
      </c>
    </row>
    <row r="67" spans="1:41" s="31" customFormat="1" ht="12" customHeight="1" x14ac:dyDescent="0.2">
      <c r="A67" s="1" t="s">
        <v>15</v>
      </c>
      <c r="B67" s="1"/>
      <c r="C67" s="1" t="s">
        <v>741</v>
      </c>
      <c r="D67" s="23"/>
      <c r="E67" s="76">
        <v>34691.660000000003</v>
      </c>
      <c r="F67" s="76"/>
      <c r="G67" s="76">
        <v>0</v>
      </c>
      <c r="H67" s="76"/>
      <c r="I67" s="76">
        <v>0</v>
      </c>
      <c r="J67" s="76"/>
      <c r="K67" s="76">
        <v>0</v>
      </c>
      <c r="L67" s="76"/>
      <c r="M67" s="76">
        <v>0</v>
      </c>
      <c r="N67" s="76"/>
      <c r="O67" s="76">
        <v>0</v>
      </c>
      <c r="P67" s="76"/>
      <c r="Q67" s="76">
        <v>53377.83</v>
      </c>
      <c r="R67" s="76"/>
      <c r="S67" s="76">
        <v>0</v>
      </c>
      <c r="T67" s="76"/>
      <c r="U67" s="76">
        <v>7642.19</v>
      </c>
      <c r="V67" s="76"/>
      <c r="W67" s="76">
        <v>741.61</v>
      </c>
      <c r="X67" s="76"/>
      <c r="Y67" s="76">
        <v>8000</v>
      </c>
      <c r="Z67" s="76"/>
      <c r="AA67" s="76">
        <v>9900</v>
      </c>
      <c r="AB67" s="76"/>
      <c r="AC67" s="76">
        <v>0</v>
      </c>
      <c r="AD67" s="76"/>
      <c r="AE67" s="76">
        <f t="shared" si="3"/>
        <v>114353.29000000001</v>
      </c>
      <c r="AF67" s="76"/>
      <c r="AG67" s="76">
        <v>-8102.11</v>
      </c>
      <c r="AH67" s="76"/>
      <c r="AI67" s="76">
        <v>8688.2199999999993</v>
      </c>
      <c r="AJ67" s="76"/>
      <c r="AK67" s="76">
        <v>586.11</v>
      </c>
      <c r="AL67" s="24">
        <f>+'Gen Rev'!AI67-'Gen Exp'!AE67+'Gen Exp'!AI67-AK67</f>
        <v>-1.5802470443304628E-11</v>
      </c>
      <c r="AM67" s="41" t="str">
        <f>'Gen Rev'!A67</f>
        <v>Bethesda</v>
      </c>
      <c r="AN67" s="21" t="str">
        <f t="shared" si="4"/>
        <v>Bethesda</v>
      </c>
      <c r="AO67" s="21" t="b">
        <f t="shared" si="5"/>
        <v>1</v>
      </c>
    </row>
    <row r="68" spans="1:41" ht="12" customHeight="1" x14ac:dyDescent="0.2">
      <c r="A68" s="1" t="s">
        <v>531</v>
      </c>
      <c r="C68" s="1" t="s">
        <v>532</v>
      </c>
      <c r="E68" s="76">
        <v>122307.73</v>
      </c>
      <c r="F68" s="76"/>
      <c r="G68" s="76">
        <v>1354</v>
      </c>
      <c r="H68" s="76"/>
      <c r="I68" s="76">
        <v>0</v>
      </c>
      <c r="J68" s="76"/>
      <c r="K68" s="76">
        <v>0</v>
      </c>
      <c r="L68" s="76"/>
      <c r="M68" s="76">
        <v>6.71</v>
      </c>
      <c r="N68" s="76"/>
      <c r="O68" s="76">
        <v>0</v>
      </c>
      <c r="P68" s="76"/>
      <c r="Q68" s="76">
        <v>107362.75</v>
      </c>
      <c r="R68" s="76"/>
      <c r="S68" s="76">
        <v>0</v>
      </c>
      <c r="T68" s="76"/>
      <c r="U68" s="76">
        <v>0</v>
      </c>
      <c r="V68" s="76"/>
      <c r="W68" s="76">
        <v>0</v>
      </c>
      <c r="X68" s="76"/>
      <c r="Y68" s="76">
        <v>0</v>
      </c>
      <c r="Z68" s="76"/>
      <c r="AA68" s="76">
        <v>0</v>
      </c>
      <c r="AB68" s="76"/>
      <c r="AC68" s="76">
        <v>0</v>
      </c>
      <c r="AD68" s="76"/>
      <c r="AE68" s="76">
        <f t="shared" si="3"/>
        <v>231031.19</v>
      </c>
      <c r="AF68" s="76"/>
      <c r="AG68" s="76">
        <v>53839.28</v>
      </c>
      <c r="AH68" s="76"/>
      <c r="AI68" s="76">
        <v>420058.03</v>
      </c>
      <c r="AJ68" s="76"/>
      <c r="AK68" s="76">
        <v>473897.31</v>
      </c>
      <c r="AL68" s="24">
        <f>+'Gen Rev'!AI68-'Gen Exp'!AE68+'Gen Exp'!AI68-AK68</f>
        <v>0</v>
      </c>
      <c r="AM68" s="41" t="str">
        <f>'Gen Rev'!A68</f>
        <v>Bettsville</v>
      </c>
      <c r="AN68" s="21" t="str">
        <f t="shared" si="4"/>
        <v>Bettsville</v>
      </c>
      <c r="AO68" s="21" t="b">
        <f t="shared" si="5"/>
        <v>1</v>
      </c>
    </row>
    <row r="69" spans="1:41" ht="12" customHeight="1" x14ac:dyDescent="0.2">
      <c r="A69" s="1" t="s">
        <v>584</v>
      </c>
      <c r="C69" s="1" t="s">
        <v>585</v>
      </c>
      <c r="E69" s="76">
        <v>231397.75</v>
      </c>
      <c r="F69" s="76"/>
      <c r="G69" s="76">
        <v>15411.31</v>
      </c>
      <c r="H69" s="76"/>
      <c r="I69" s="76">
        <v>55571.46</v>
      </c>
      <c r="J69" s="76"/>
      <c r="K69" s="76">
        <v>800</v>
      </c>
      <c r="L69" s="76"/>
      <c r="M69" s="76">
        <v>0</v>
      </c>
      <c r="N69" s="76"/>
      <c r="O69" s="76">
        <v>0</v>
      </c>
      <c r="P69" s="76"/>
      <c r="Q69" s="76">
        <v>215512.68</v>
      </c>
      <c r="R69" s="76"/>
      <c r="S69" s="76">
        <v>0</v>
      </c>
      <c r="T69" s="76"/>
      <c r="U69" s="76">
        <v>0</v>
      </c>
      <c r="V69" s="76"/>
      <c r="W69" s="76">
        <v>0</v>
      </c>
      <c r="X69" s="76"/>
      <c r="Y69" s="76">
        <v>143559.91</v>
      </c>
      <c r="Z69" s="76"/>
      <c r="AA69" s="76">
        <v>0</v>
      </c>
      <c r="AB69" s="76"/>
      <c r="AC69" s="76">
        <v>0</v>
      </c>
      <c r="AD69" s="76"/>
      <c r="AE69" s="76">
        <f t="shared" si="3"/>
        <v>662253.11</v>
      </c>
      <c r="AF69" s="76"/>
      <c r="AG69" s="76">
        <v>63213.33</v>
      </c>
      <c r="AH69" s="76"/>
      <c r="AI69" s="76">
        <v>148751.29999999999</v>
      </c>
      <c r="AJ69" s="76"/>
      <c r="AK69" s="76">
        <v>211964.63</v>
      </c>
      <c r="AL69" s="24">
        <f>+'Gen Rev'!AI69-'Gen Exp'!AE69+'Gen Exp'!AI69-AK69</f>
        <v>0</v>
      </c>
      <c r="AM69" s="41" t="str">
        <f>'Gen Rev'!A69</f>
        <v>Beverly</v>
      </c>
      <c r="AN69" s="21" t="str">
        <f t="shared" si="4"/>
        <v>Beverly</v>
      </c>
      <c r="AO69" s="21" t="b">
        <f t="shared" si="5"/>
        <v>1</v>
      </c>
    </row>
    <row r="70" spans="1:41" ht="12" customHeight="1" x14ac:dyDescent="0.2">
      <c r="A70" s="1" t="s">
        <v>252</v>
      </c>
      <c r="C70" s="1" t="s">
        <v>812</v>
      </c>
      <c r="D70" s="23"/>
      <c r="E70" s="76">
        <v>25809.47</v>
      </c>
      <c r="F70" s="76"/>
      <c r="G70" s="76">
        <v>0</v>
      </c>
      <c r="H70" s="76"/>
      <c r="I70" s="76">
        <v>0</v>
      </c>
      <c r="J70" s="76"/>
      <c r="K70" s="76">
        <v>0</v>
      </c>
      <c r="L70" s="76"/>
      <c r="M70" s="76">
        <v>6148.09</v>
      </c>
      <c r="N70" s="76"/>
      <c r="O70" s="76">
        <v>0</v>
      </c>
      <c r="P70" s="76"/>
      <c r="Q70" s="76">
        <v>14949.33</v>
      </c>
      <c r="R70" s="76"/>
      <c r="S70" s="76">
        <v>0</v>
      </c>
      <c r="T70" s="76"/>
      <c r="U70" s="76">
        <v>0</v>
      </c>
      <c r="V70" s="76"/>
      <c r="W70" s="76">
        <v>0</v>
      </c>
      <c r="X70" s="76"/>
      <c r="Y70" s="76">
        <v>0</v>
      </c>
      <c r="Z70" s="76"/>
      <c r="AA70" s="76">
        <v>0</v>
      </c>
      <c r="AB70" s="76"/>
      <c r="AC70" s="76">
        <v>0</v>
      </c>
      <c r="AD70" s="76"/>
      <c r="AE70" s="76">
        <f t="shared" si="3"/>
        <v>46906.89</v>
      </c>
      <c r="AF70" s="76"/>
      <c r="AG70" s="76">
        <v>-27758.78</v>
      </c>
      <c r="AH70" s="76"/>
      <c r="AI70" s="76">
        <v>94560.24</v>
      </c>
      <c r="AJ70" s="76"/>
      <c r="AK70" s="76">
        <v>66801.460000000006</v>
      </c>
      <c r="AL70" s="24">
        <f>+'Gen Rev'!AI70-'Gen Exp'!AE70+'Gen Exp'!AI70-AK70</f>
        <v>0</v>
      </c>
      <c r="AM70" s="41" t="str">
        <f>'Gen Rev'!A70</f>
        <v>Blakeslee</v>
      </c>
      <c r="AN70" s="21" t="str">
        <f t="shared" si="4"/>
        <v>Blakeslee</v>
      </c>
      <c r="AO70" s="21" t="b">
        <f t="shared" si="5"/>
        <v>1</v>
      </c>
    </row>
    <row r="71" spans="1:41" s="19" customFormat="1" ht="12" customHeight="1" x14ac:dyDescent="0.2">
      <c r="A71" s="1" t="s">
        <v>910</v>
      </c>
      <c r="B71" s="1"/>
      <c r="C71" s="1" t="s">
        <v>299</v>
      </c>
      <c r="D71" s="23"/>
      <c r="E71" s="76">
        <v>635059</v>
      </c>
      <c r="F71" s="76"/>
      <c r="G71" s="76">
        <v>7487</v>
      </c>
      <c r="H71" s="76"/>
      <c r="I71" s="76">
        <v>116777</v>
      </c>
      <c r="J71" s="76"/>
      <c r="K71" s="76">
        <v>9455</v>
      </c>
      <c r="L71" s="76"/>
      <c r="M71" s="76">
        <v>0</v>
      </c>
      <c r="N71" s="76"/>
      <c r="O71" s="76">
        <v>0</v>
      </c>
      <c r="P71" s="76"/>
      <c r="Q71" s="76">
        <v>232419</v>
      </c>
      <c r="R71" s="76"/>
      <c r="S71" s="76">
        <v>23978</v>
      </c>
      <c r="T71" s="76"/>
      <c r="U71" s="76">
        <v>0</v>
      </c>
      <c r="V71" s="76"/>
      <c r="W71" s="76">
        <v>0</v>
      </c>
      <c r="X71" s="76"/>
      <c r="Y71" s="76">
        <v>0</v>
      </c>
      <c r="Z71" s="76"/>
      <c r="AA71" s="76">
        <v>0</v>
      </c>
      <c r="AB71" s="76"/>
      <c r="AC71" s="76">
        <v>6042</v>
      </c>
      <c r="AD71" s="76"/>
      <c r="AE71" s="76">
        <f t="shared" si="3"/>
        <v>1031217</v>
      </c>
      <c r="AF71" s="76"/>
      <c r="AG71" s="76">
        <v>-141559</v>
      </c>
      <c r="AH71" s="76"/>
      <c r="AI71" s="76">
        <v>929309</v>
      </c>
      <c r="AJ71" s="76"/>
      <c r="AK71" s="76">
        <v>787750</v>
      </c>
      <c r="AL71" s="24">
        <f>+'Gen Rev'!AI71-'Gen Exp'!AE71+'Gen Exp'!AI71-AK71</f>
        <v>0</v>
      </c>
      <c r="AM71" s="41" t="str">
        <f>'Gen Rev'!A71</f>
        <v>Blanchester</v>
      </c>
      <c r="AN71" s="21" t="str">
        <f t="shared" si="4"/>
        <v>Blanchester</v>
      </c>
      <c r="AO71" s="21" t="b">
        <f t="shared" si="5"/>
        <v>1</v>
      </c>
    </row>
    <row r="72" spans="1:41" s="21" customFormat="1" ht="12" customHeight="1" x14ac:dyDescent="0.2">
      <c r="A72" s="10" t="s">
        <v>602</v>
      </c>
      <c r="B72" s="10"/>
      <c r="C72" s="10" t="s">
        <v>601</v>
      </c>
      <c r="D72" s="10"/>
      <c r="E72" s="76">
        <v>39880</v>
      </c>
      <c r="F72" s="76"/>
      <c r="G72" s="76">
        <v>9721</v>
      </c>
      <c r="H72" s="76"/>
      <c r="I72" s="76">
        <v>11356</v>
      </c>
      <c r="J72" s="76"/>
      <c r="K72" s="76">
        <v>0</v>
      </c>
      <c r="L72" s="76"/>
      <c r="M72" s="76">
        <v>0</v>
      </c>
      <c r="N72" s="76"/>
      <c r="O72" s="76">
        <v>0</v>
      </c>
      <c r="P72" s="76"/>
      <c r="Q72" s="76">
        <v>92785</v>
      </c>
      <c r="R72" s="76"/>
      <c r="S72" s="76">
        <v>0</v>
      </c>
      <c r="T72" s="76"/>
      <c r="U72" s="76">
        <v>0</v>
      </c>
      <c r="V72" s="76"/>
      <c r="W72" s="76">
        <v>0</v>
      </c>
      <c r="X72" s="76"/>
      <c r="Y72" s="76">
        <v>0</v>
      </c>
      <c r="Z72" s="76"/>
      <c r="AA72" s="76">
        <v>33155</v>
      </c>
      <c r="AB72" s="76"/>
      <c r="AC72" s="76">
        <v>0</v>
      </c>
      <c r="AD72" s="76"/>
      <c r="AE72" s="76">
        <f t="shared" si="3"/>
        <v>186897</v>
      </c>
      <c r="AF72" s="76"/>
      <c r="AG72" s="76">
        <v>29577</v>
      </c>
      <c r="AH72" s="76"/>
      <c r="AI72" s="76">
        <v>236</v>
      </c>
      <c r="AJ72" s="76"/>
      <c r="AK72" s="76">
        <v>29813</v>
      </c>
      <c r="AL72" s="24">
        <f>+'Gen Rev'!AI72-'Gen Exp'!AE72+'Gen Exp'!AI72-AK72</f>
        <v>0</v>
      </c>
      <c r="AM72" s="41" t="str">
        <f>'Gen Rev'!A72</f>
        <v>Bloomdale</v>
      </c>
      <c r="AN72" s="21" t="str">
        <f t="shared" si="4"/>
        <v>Bloomdale</v>
      </c>
      <c r="AO72" s="21" t="b">
        <f t="shared" si="5"/>
        <v>1</v>
      </c>
    </row>
    <row r="73" spans="1:41" s="21" customFormat="1" ht="12" customHeight="1" x14ac:dyDescent="0.2">
      <c r="A73" s="1" t="s">
        <v>68</v>
      </c>
      <c r="B73" s="1"/>
      <c r="C73" s="1" t="s">
        <v>757</v>
      </c>
      <c r="D73" s="23"/>
      <c r="E73" s="76">
        <v>37119.160000000003</v>
      </c>
      <c r="F73" s="76"/>
      <c r="G73" s="76">
        <v>2724.16</v>
      </c>
      <c r="H73" s="76"/>
      <c r="I73" s="76">
        <v>1150</v>
      </c>
      <c r="J73" s="76"/>
      <c r="K73" s="76">
        <v>0</v>
      </c>
      <c r="L73" s="76"/>
      <c r="M73" s="76">
        <v>12352.95</v>
      </c>
      <c r="N73" s="76"/>
      <c r="O73" s="76">
        <v>0</v>
      </c>
      <c r="P73" s="76"/>
      <c r="Q73" s="76">
        <v>46137.73</v>
      </c>
      <c r="R73" s="76"/>
      <c r="S73" s="76">
        <v>0</v>
      </c>
      <c r="T73" s="76"/>
      <c r="U73" s="76">
        <v>0</v>
      </c>
      <c r="V73" s="76"/>
      <c r="W73" s="76">
        <v>0</v>
      </c>
      <c r="X73" s="76"/>
      <c r="Y73" s="76">
        <v>41000</v>
      </c>
      <c r="Z73" s="76"/>
      <c r="AA73" s="76">
        <v>0</v>
      </c>
      <c r="AB73" s="76"/>
      <c r="AC73" s="76">
        <v>11777.66</v>
      </c>
      <c r="AD73" s="76"/>
      <c r="AE73" s="76">
        <f t="shared" si="3"/>
        <v>152261.66</v>
      </c>
      <c r="AF73" s="76"/>
      <c r="AG73" s="76">
        <v>-52585.37</v>
      </c>
      <c r="AH73" s="76"/>
      <c r="AI73" s="76">
        <v>69220.55</v>
      </c>
      <c r="AJ73" s="76"/>
      <c r="AK73" s="76">
        <v>16635.18</v>
      </c>
      <c r="AL73" s="24">
        <f>+'Gen Rev'!AI73-'Gen Exp'!AE73+'Gen Exp'!AI73-AK73</f>
        <v>0</v>
      </c>
      <c r="AM73" s="41" t="str">
        <f>'Gen Rev'!A73</f>
        <v>Bloomingburg</v>
      </c>
      <c r="AN73" s="21" t="str">
        <f t="shared" si="4"/>
        <v>Bloomingburg</v>
      </c>
      <c r="AO73" s="21" t="b">
        <f t="shared" ref="AO73:AO104" si="6">AM73=AN73</f>
        <v>1</v>
      </c>
    </row>
    <row r="74" spans="1:41" s="21" customFormat="1" ht="12" customHeight="1" x14ac:dyDescent="0.2">
      <c r="A74" s="1"/>
      <c r="B74" s="1"/>
      <c r="C74" s="1"/>
      <c r="D74" s="23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24"/>
      <c r="AM74" s="41"/>
    </row>
    <row r="75" spans="1:41" s="21" customFormat="1" ht="12" customHeight="1" x14ac:dyDescent="0.2">
      <c r="A75" s="1"/>
      <c r="B75" s="1"/>
      <c r="C75" s="1"/>
      <c r="D75" s="23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 t="s">
        <v>850</v>
      </c>
      <c r="AF75" s="76"/>
      <c r="AG75" s="76"/>
      <c r="AH75" s="76"/>
      <c r="AI75" s="76"/>
      <c r="AJ75" s="76"/>
      <c r="AK75" s="76"/>
      <c r="AL75" s="24"/>
      <c r="AM75" s="41"/>
    </row>
    <row r="76" spans="1:41" s="21" customFormat="1" ht="12" customHeight="1" x14ac:dyDescent="0.2">
      <c r="A76" s="1"/>
      <c r="B76" s="1"/>
      <c r="C76" s="1"/>
      <c r="D76" s="23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24"/>
      <c r="AM76" s="41"/>
    </row>
    <row r="77" spans="1:41" s="21" customFormat="1" ht="12" customHeight="1" x14ac:dyDescent="0.2">
      <c r="A77" s="1" t="s">
        <v>115</v>
      </c>
      <c r="B77" s="1"/>
      <c r="C77" s="1" t="s">
        <v>770</v>
      </c>
      <c r="D77" s="1"/>
      <c r="E77" s="88">
        <v>4680.54</v>
      </c>
      <c r="F77" s="88"/>
      <c r="G77" s="88">
        <v>342.13</v>
      </c>
      <c r="H77" s="88"/>
      <c r="I77" s="88">
        <v>5227.0600000000004</v>
      </c>
      <c r="J77" s="88"/>
      <c r="K77" s="88">
        <v>0</v>
      </c>
      <c r="L77" s="88"/>
      <c r="M77" s="88">
        <v>600</v>
      </c>
      <c r="N77" s="88"/>
      <c r="O77" s="88">
        <v>0</v>
      </c>
      <c r="P77" s="88"/>
      <c r="Q77" s="88">
        <v>15640.2</v>
      </c>
      <c r="R77" s="88"/>
      <c r="S77" s="88">
        <v>0</v>
      </c>
      <c r="T77" s="88"/>
      <c r="U77" s="88">
        <v>1500</v>
      </c>
      <c r="V77" s="88"/>
      <c r="W77" s="88">
        <v>0</v>
      </c>
      <c r="X77" s="88"/>
      <c r="Y77" s="88">
        <v>0</v>
      </c>
      <c r="Z77" s="88"/>
      <c r="AA77" s="88">
        <v>0</v>
      </c>
      <c r="AB77" s="88"/>
      <c r="AC77" s="88">
        <v>0</v>
      </c>
      <c r="AD77" s="88"/>
      <c r="AE77" s="88">
        <f t="shared" ref="AE77:AE108" si="7">SUM(E77:AC77)</f>
        <v>27989.93</v>
      </c>
      <c r="AF77" s="76"/>
      <c r="AG77" s="76">
        <v>1418.18</v>
      </c>
      <c r="AH77" s="76"/>
      <c r="AI77" s="76">
        <v>35706.089999999997</v>
      </c>
      <c r="AJ77" s="76"/>
      <c r="AK77" s="76">
        <v>37124.269999999997</v>
      </c>
      <c r="AL77" s="24">
        <f>+'Gen Rev'!AI74-'Gen Exp'!AE77+'Gen Exp'!AI77-AK77</f>
        <v>0</v>
      </c>
      <c r="AM77" s="41" t="str">
        <f>'Gen Rev'!A74</f>
        <v>Bloomingdale</v>
      </c>
      <c r="AN77" s="21" t="str">
        <f t="shared" ref="AN77:AN108" si="8">A77</f>
        <v>Bloomingdale</v>
      </c>
      <c r="AO77" s="21" t="b">
        <f t="shared" ref="AO77:AO108" si="9">AM77=AN77</f>
        <v>1</v>
      </c>
    </row>
    <row r="78" spans="1:41" ht="12" customHeight="1" x14ac:dyDescent="0.2">
      <c r="A78" s="1" t="s">
        <v>533</v>
      </c>
      <c r="C78" s="1" t="s">
        <v>532</v>
      </c>
      <c r="E78" s="76">
        <v>10221</v>
      </c>
      <c r="F78" s="76"/>
      <c r="G78" s="76">
        <v>1516</v>
      </c>
      <c r="H78" s="76"/>
      <c r="I78" s="76">
        <v>0</v>
      </c>
      <c r="J78" s="76"/>
      <c r="K78" s="76">
        <v>0</v>
      </c>
      <c r="L78" s="76"/>
      <c r="M78" s="76">
        <v>6096</v>
      </c>
      <c r="N78" s="76"/>
      <c r="O78" s="76">
        <v>20404</v>
      </c>
      <c r="P78" s="76"/>
      <c r="Q78" s="76">
        <v>38646</v>
      </c>
      <c r="R78" s="76"/>
      <c r="S78" s="76">
        <v>0</v>
      </c>
      <c r="T78" s="76"/>
      <c r="U78" s="76">
        <v>0</v>
      </c>
      <c r="V78" s="76"/>
      <c r="W78" s="76">
        <v>0</v>
      </c>
      <c r="X78" s="76"/>
      <c r="Y78" s="76">
        <v>35000</v>
      </c>
      <c r="Z78" s="76"/>
      <c r="AA78" s="76">
        <v>0</v>
      </c>
      <c r="AB78" s="76"/>
      <c r="AC78" s="76">
        <v>0</v>
      </c>
      <c r="AD78" s="76"/>
      <c r="AE78" s="76">
        <f t="shared" si="7"/>
        <v>111883</v>
      </c>
      <c r="AF78" s="76"/>
      <c r="AG78" s="76">
        <v>-3174</v>
      </c>
      <c r="AH78" s="76"/>
      <c r="AI78" s="76">
        <v>154336</v>
      </c>
      <c r="AJ78" s="76"/>
      <c r="AK78" s="76">
        <v>151162</v>
      </c>
      <c r="AL78" s="24">
        <f>+'Gen Rev'!AI75-'Gen Exp'!AE78+'Gen Exp'!AI78-AK78</f>
        <v>0</v>
      </c>
      <c r="AM78" s="41" t="str">
        <f>'Gen Rev'!A75</f>
        <v>Bloomville</v>
      </c>
      <c r="AN78" s="21" t="str">
        <f t="shared" si="8"/>
        <v>Bloomville</v>
      </c>
      <c r="AO78" s="21" t="b">
        <f t="shared" si="9"/>
        <v>1</v>
      </c>
    </row>
    <row r="79" spans="1:41" s="21" customFormat="1" ht="12" hidden="1" customHeight="1" x14ac:dyDescent="0.2">
      <c r="A79" s="1" t="s">
        <v>682</v>
      </c>
      <c r="B79" s="1"/>
      <c r="C79" s="1" t="s">
        <v>703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>
        <f t="shared" si="7"/>
        <v>0</v>
      </c>
      <c r="AF79" s="76"/>
      <c r="AG79" s="76"/>
      <c r="AH79" s="76"/>
      <c r="AI79" s="76"/>
      <c r="AJ79" s="76"/>
      <c r="AK79" s="76"/>
      <c r="AL79" s="24">
        <f>+'Gen Rev'!AI76-'Gen Exp'!AE79+'Gen Exp'!AI79-AK79</f>
        <v>0</v>
      </c>
      <c r="AM79" s="41" t="str">
        <f>'Gen Rev'!A76</f>
        <v>Bluffton</v>
      </c>
      <c r="AN79" s="21" t="str">
        <f t="shared" si="8"/>
        <v>Bluffton</v>
      </c>
      <c r="AO79" s="21" t="b">
        <f t="shared" si="9"/>
        <v>1</v>
      </c>
    </row>
    <row r="80" spans="1:41" s="21" customFormat="1" ht="12" customHeight="1" x14ac:dyDescent="0.2">
      <c r="A80" s="1" t="s">
        <v>562</v>
      </c>
      <c r="B80" s="1"/>
      <c r="C80" s="1" t="s">
        <v>560</v>
      </c>
      <c r="D80" s="23"/>
      <c r="E80" s="76">
        <v>92612.63</v>
      </c>
      <c r="F80" s="76"/>
      <c r="G80" s="76">
        <v>0</v>
      </c>
      <c r="H80" s="76"/>
      <c r="I80" s="76">
        <v>13729.35</v>
      </c>
      <c r="J80" s="76"/>
      <c r="K80" s="76">
        <v>1099.18</v>
      </c>
      <c r="L80" s="76"/>
      <c r="M80" s="76">
        <v>39701.32</v>
      </c>
      <c r="N80" s="76"/>
      <c r="O80" s="76">
        <v>3987.52</v>
      </c>
      <c r="P80" s="76"/>
      <c r="Q80" s="76">
        <v>92025.51</v>
      </c>
      <c r="R80" s="76"/>
      <c r="S80" s="76">
        <v>0</v>
      </c>
      <c r="T80" s="76"/>
      <c r="U80" s="76">
        <v>0</v>
      </c>
      <c r="V80" s="76"/>
      <c r="W80" s="76">
        <v>0</v>
      </c>
      <c r="X80" s="76"/>
      <c r="Y80" s="76">
        <v>354.5</v>
      </c>
      <c r="Z80" s="76"/>
      <c r="AA80" s="76">
        <v>0</v>
      </c>
      <c r="AB80" s="76"/>
      <c r="AC80" s="76">
        <v>7199.2</v>
      </c>
      <c r="AD80" s="76"/>
      <c r="AE80" s="76">
        <f t="shared" si="7"/>
        <v>250709.21000000002</v>
      </c>
      <c r="AF80" s="76"/>
      <c r="AG80" s="76">
        <v>943809.23</v>
      </c>
      <c r="AH80" s="76"/>
      <c r="AI80" s="76">
        <v>36102</v>
      </c>
      <c r="AJ80" s="76"/>
      <c r="AK80" s="76">
        <v>979911.23</v>
      </c>
      <c r="AL80" s="24">
        <f>+'Gen Rev'!AI77-'Gen Exp'!AE80+'Gen Exp'!AI80-AK80</f>
        <v>0</v>
      </c>
      <c r="AM80" s="41" t="str">
        <f>'Gen Rev'!A77</f>
        <v>Bolivar</v>
      </c>
      <c r="AN80" s="21" t="str">
        <f t="shared" si="8"/>
        <v>Bolivar</v>
      </c>
      <c r="AO80" s="21" t="b">
        <f t="shared" si="9"/>
        <v>1</v>
      </c>
    </row>
    <row r="81" spans="1:41" ht="12" hidden="1" customHeight="1" x14ac:dyDescent="0.2">
      <c r="A81" s="1" t="s">
        <v>548</v>
      </c>
      <c r="C81" s="1" t="s">
        <v>549</v>
      </c>
      <c r="D81" s="21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>
        <f t="shared" si="7"/>
        <v>0</v>
      </c>
      <c r="AF81" s="76"/>
      <c r="AG81" s="76"/>
      <c r="AH81" s="76"/>
      <c r="AI81" s="76"/>
      <c r="AJ81" s="76"/>
      <c r="AK81" s="76"/>
      <c r="AL81" s="24">
        <f>+'Gen Rev'!AI78-'Gen Exp'!AE81+'Gen Exp'!AI81-AK81</f>
        <v>0</v>
      </c>
      <c r="AM81" s="41" t="str">
        <f>'Gen Rev'!A78</f>
        <v>Boston Heights</v>
      </c>
      <c r="AN81" s="21" t="str">
        <f t="shared" si="8"/>
        <v>Boston Heights</v>
      </c>
      <c r="AO81" s="21" t="b">
        <f t="shared" si="9"/>
        <v>1</v>
      </c>
    </row>
    <row r="82" spans="1:41" s="19" customFormat="1" ht="12" customHeight="1" x14ac:dyDescent="0.2">
      <c r="A82" s="10" t="s">
        <v>535</v>
      </c>
      <c r="B82" s="10"/>
      <c r="C82" s="10" t="s">
        <v>536</v>
      </c>
      <c r="D82" s="10"/>
      <c r="E82" s="76">
        <v>221462</v>
      </c>
      <c r="F82" s="76"/>
      <c r="G82" s="76">
        <v>4961</v>
      </c>
      <c r="H82" s="76"/>
      <c r="I82" s="76">
        <v>42803</v>
      </c>
      <c r="J82" s="76"/>
      <c r="K82" s="76">
        <v>0</v>
      </c>
      <c r="L82" s="76"/>
      <c r="M82" s="76">
        <v>0</v>
      </c>
      <c r="N82" s="76"/>
      <c r="O82" s="76">
        <v>0</v>
      </c>
      <c r="P82" s="76"/>
      <c r="Q82" s="76">
        <v>281759</v>
      </c>
      <c r="R82" s="76"/>
      <c r="S82" s="76">
        <v>0</v>
      </c>
      <c r="T82" s="76"/>
      <c r="U82" s="76">
        <v>0</v>
      </c>
      <c r="V82" s="76"/>
      <c r="W82" s="76">
        <v>0</v>
      </c>
      <c r="X82" s="76"/>
      <c r="Y82" s="76">
        <v>0</v>
      </c>
      <c r="Z82" s="76"/>
      <c r="AA82" s="76">
        <v>0</v>
      </c>
      <c r="AB82" s="76"/>
      <c r="AC82" s="76">
        <v>0</v>
      </c>
      <c r="AD82" s="76"/>
      <c r="AE82" s="76">
        <f t="shared" si="7"/>
        <v>550985</v>
      </c>
      <c r="AF82" s="76"/>
      <c r="AG82" s="76">
        <v>64916</v>
      </c>
      <c r="AH82" s="76"/>
      <c r="AI82" s="76">
        <v>287549</v>
      </c>
      <c r="AJ82" s="76"/>
      <c r="AK82" s="76">
        <v>352465</v>
      </c>
      <c r="AL82" s="24">
        <f>+'Gen Rev'!AI79-'Gen Exp'!AE82+'Gen Exp'!AI82-AK82</f>
        <v>0</v>
      </c>
      <c r="AM82" s="41" t="str">
        <f>'Gen Rev'!A79</f>
        <v>Botkins</v>
      </c>
      <c r="AN82" s="21" t="str">
        <f t="shared" si="8"/>
        <v>Botkins</v>
      </c>
      <c r="AO82" s="21" t="b">
        <f t="shared" si="9"/>
        <v>1</v>
      </c>
    </row>
    <row r="83" spans="1:41" s="21" customFormat="1" ht="12" customHeight="1" x14ac:dyDescent="0.2">
      <c r="A83" s="1" t="s">
        <v>402</v>
      </c>
      <c r="B83" s="1"/>
      <c r="C83" s="1" t="s">
        <v>403</v>
      </c>
      <c r="D83" s="1"/>
      <c r="E83" s="76">
        <v>14046.03</v>
      </c>
      <c r="F83" s="76"/>
      <c r="G83" s="76">
        <v>317.73</v>
      </c>
      <c r="H83" s="76"/>
      <c r="I83" s="76">
        <v>23357.040000000001</v>
      </c>
      <c r="J83" s="76"/>
      <c r="K83" s="76">
        <v>535.37</v>
      </c>
      <c r="L83" s="76"/>
      <c r="M83" s="76">
        <v>340</v>
      </c>
      <c r="N83" s="76"/>
      <c r="O83" s="76">
        <v>2000</v>
      </c>
      <c r="P83" s="76"/>
      <c r="Q83" s="76">
        <v>54149.3</v>
      </c>
      <c r="R83" s="76"/>
      <c r="S83" s="76">
        <v>0</v>
      </c>
      <c r="T83" s="76"/>
      <c r="U83" s="76">
        <v>0</v>
      </c>
      <c r="V83" s="76"/>
      <c r="W83" s="76">
        <v>0</v>
      </c>
      <c r="X83" s="76"/>
      <c r="Y83" s="76">
        <v>0</v>
      </c>
      <c r="Z83" s="76"/>
      <c r="AA83" s="76">
        <v>0</v>
      </c>
      <c r="AB83" s="76"/>
      <c r="AC83" s="76">
        <v>8261.16</v>
      </c>
      <c r="AD83" s="76"/>
      <c r="AE83" s="76">
        <f t="shared" si="7"/>
        <v>103006.63</v>
      </c>
      <c r="AF83" s="76"/>
      <c r="AG83" s="76">
        <v>125233.78</v>
      </c>
      <c r="AH83" s="76"/>
      <c r="AI83" s="76">
        <v>93364.82</v>
      </c>
      <c r="AJ83" s="76"/>
      <c r="AK83" s="76">
        <v>218598.6</v>
      </c>
      <c r="AL83" s="24">
        <f>+'Gen Rev'!AI83-'Gen Exp'!AE83+'Gen Exp'!AI83-AK83</f>
        <v>0</v>
      </c>
      <c r="AM83" s="41" t="str">
        <f>'Gen Rev'!A83</f>
        <v>Bowerston</v>
      </c>
      <c r="AN83" s="21" t="str">
        <f t="shared" si="8"/>
        <v>Bowerston</v>
      </c>
      <c r="AO83" s="21" t="b">
        <f t="shared" si="9"/>
        <v>1</v>
      </c>
    </row>
    <row r="84" spans="1:41" s="21" customFormat="1" ht="12" customHeight="1" x14ac:dyDescent="0.2">
      <c r="A84" s="1" t="s">
        <v>83</v>
      </c>
      <c r="B84" s="1"/>
      <c r="C84" s="1" t="s">
        <v>761</v>
      </c>
      <c r="D84" s="23"/>
      <c r="E84" s="76">
        <v>0</v>
      </c>
      <c r="F84" s="76"/>
      <c r="G84" s="76">
        <v>0</v>
      </c>
      <c r="H84" s="76"/>
      <c r="I84" s="76">
        <v>0</v>
      </c>
      <c r="J84" s="76"/>
      <c r="K84" s="76">
        <v>0</v>
      </c>
      <c r="L84" s="76"/>
      <c r="M84" s="76">
        <v>0</v>
      </c>
      <c r="N84" s="76"/>
      <c r="O84" s="76">
        <v>0</v>
      </c>
      <c r="P84" s="76"/>
      <c r="Q84" s="76">
        <v>40017.85</v>
      </c>
      <c r="R84" s="76"/>
      <c r="S84" s="76">
        <v>0</v>
      </c>
      <c r="T84" s="76"/>
      <c r="U84" s="76">
        <v>0</v>
      </c>
      <c r="V84" s="76"/>
      <c r="W84" s="76">
        <v>0</v>
      </c>
      <c r="X84" s="76"/>
      <c r="Y84" s="76">
        <v>0</v>
      </c>
      <c r="Z84" s="76"/>
      <c r="AA84" s="76">
        <v>0</v>
      </c>
      <c r="AB84" s="76"/>
      <c r="AC84" s="76">
        <v>0</v>
      </c>
      <c r="AD84" s="76"/>
      <c r="AE84" s="76">
        <f t="shared" si="7"/>
        <v>40017.85</v>
      </c>
      <c r="AF84" s="76"/>
      <c r="AG84" s="76">
        <v>-7853.71</v>
      </c>
      <c r="AH84" s="76"/>
      <c r="AI84" s="76">
        <v>37369.589999999997</v>
      </c>
      <c r="AJ84" s="76"/>
      <c r="AK84" s="76">
        <v>29515.88</v>
      </c>
      <c r="AL84" s="24">
        <f>+'Gen Rev'!AI84-'Gen Exp'!AE84+'Gen Exp'!AI84-AK84</f>
        <v>0</v>
      </c>
      <c r="AM84" s="41" t="str">
        <f>'Gen Rev'!A84</f>
        <v>Bowersville</v>
      </c>
      <c r="AN84" s="21" t="str">
        <f t="shared" si="8"/>
        <v>Bowersville</v>
      </c>
      <c r="AO84" s="21" t="b">
        <f t="shared" si="9"/>
        <v>1</v>
      </c>
    </row>
    <row r="85" spans="1:41" ht="12" customHeight="1" x14ac:dyDescent="0.2">
      <c r="A85" s="1" t="s">
        <v>469</v>
      </c>
      <c r="C85" s="1" t="s">
        <v>902</v>
      </c>
      <c r="E85" s="76">
        <v>150180</v>
      </c>
      <c r="F85" s="76"/>
      <c r="G85" s="76">
        <v>0</v>
      </c>
      <c r="H85" s="76"/>
      <c r="I85" s="76">
        <v>3914</v>
      </c>
      <c r="J85" s="76"/>
      <c r="K85" s="76">
        <v>0</v>
      </c>
      <c r="L85" s="76"/>
      <c r="M85" s="76">
        <v>0</v>
      </c>
      <c r="N85" s="76"/>
      <c r="O85" s="76">
        <v>0</v>
      </c>
      <c r="P85" s="76"/>
      <c r="Q85" s="76">
        <v>123517</v>
      </c>
      <c r="R85" s="76"/>
      <c r="S85" s="76">
        <v>0</v>
      </c>
      <c r="T85" s="76"/>
      <c r="U85" s="76">
        <v>0</v>
      </c>
      <c r="V85" s="76"/>
      <c r="W85" s="76">
        <v>0</v>
      </c>
      <c r="X85" s="76"/>
      <c r="Y85" s="76">
        <v>0</v>
      </c>
      <c r="Z85" s="76"/>
      <c r="AA85" s="76">
        <v>0</v>
      </c>
      <c r="AB85" s="76"/>
      <c r="AC85" s="76">
        <v>0</v>
      </c>
      <c r="AD85" s="76"/>
      <c r="AE85" s="76">
        <f t="shared" si="7"/>
        <v>277611</v>
      </c>
      <c r="AF85" s="76"/>
      <c r="AG85" s="76">
        <v>-1369</v>
      </c>
      <c r="AH85" s="76"/>
      <c r="AI85" s="76">
        <v>75080</v>
      </c>
      <c r="AJ85" s="76"/>
      <c r="AK85" s="76">
        <v>73711</v>
      </c>
      <c r="AL85" s="24">
        <f>+'Gen Rev'!AI85-'Gen Exp'!AE85+'Gen Exp'!AI85-AK85</f>
        <v>0</v>
      </c>
      <c r="AM85" s="41" t="str">
        <f>'Gen Rev'!A85</f>
        <v>Bradford</v>
      </c>
      <c r="AN85" s="21" t="str">
        <f t="shared" si="8"/>
        <v>Bradford</v>
      </c>
      <c r="AO85" s="21" t="b">
        <f t="shared" si="9"/>
        <v>1</v>
      </c>
    </row>
    <row r="86" spans="1:41" s="21" customFormat="1" ht="12" customHeight="1" x14ac:dyDescent="0.2">
      <c r="A86" s="1" t="s">
        <v>603</v>
      </c>
      <c r="B86" s="1"/>
      <c r="C86" s="1" t="s">
        <v>601</v>
      </c>
      <c r="D86" s="1"/>
      <c r="E86" s="76">
        <v>74534</v>
      </c>
      <c r="F86" s="76"/>
      <c r="G86" s="76">
        <v>4206</v>
      </c>
      <c r="H86" s="76"/>
      <c r="I86" s="76">
        <v>0</v>
      </c>
      <c r="J86" s="76"/>
      <c r="K86" s="76">
        <v>11733</v>
      </c>
      <c r="L86" s="76"/>
      <c r="M86" s="76">
        <v>30259</v>
      </c>
      <c r="N86" s="76"/>
      <c r="O86" s="76">
        <v>16489</v>
      </c>
      <c r="P86" s="76"/>
      <c r="Q86" s="76">
        <v>146236</v>
      </c>
      <c r="R86" s="76"/>
      <c r="S86" s="76">
        <v>0</v>
      </c>
      <c r="T86" s="76"/>
      <c r="U86" s="76">
        <v>0</v>
      </c>
      <c r="V86" s="76"/>
      <c r="W86" s="76">
        <v>0</v>
      </c>
      <c r="X86" s="76"/>
      <c r="Y86" s="76">
        <v>0</v>
      </c>
      <c r="Z86" s="76"/>
      <c r="AA86" s="76">
        <v>0</v>
      </c>
      <c r="AB86" s="76"/>
      <c r="AC86" s="76">
        <v>0</v>
      </c>
      <c r="AD86" s="76"/>
      <c r="AE86" s="76">
        <f t="shared" si="7"/>
        <v>283457</v>
      </c>
      <c r="AF86" s="76"/>
      <c r="AG86" s="76">
        <v>-71009</v>
      </c>
      <c r="AH86" s="76"/>
      <c r="AI86" s="76">
        <v>222616</v>
      </c>
      <c r="AJ86" s="76"/>
      <c r="AK86" s="76">
        <v>151607</v>
      </c>
      <c r="AL86" s="24">
        <f>+'Gen Rev'!AI86-'Gen Exp'!AE86+'Gen Exp'!AI86-AK86</f>
        <v>0</v>
      </c>
      <c r="AM86" s="41" t="str">
        <f>'Gen Rev'!A86</f>
        <v>Bradner</v>
      </c>
      <c r="AN86" s="21" t="str">
        <f t="shared" si="8"/>
        <v>Bradner</v>
      </c>
      <c r="AO86" s="21" t="b">
        <f t="shared" si="9"/>
        <v>1</v>
      </c>
    </row>
    <row r="87" spans="1:41" s="21" customFormat="1" ht="12" hidden="1" customHeight="1" x14ac:dyDescent="0.2">
      <c r="A87" s="1" t="s">
        <v>880</v>
      </c>
      <c r="B87" s="1"/>
      <c r="C87" s="1" t="s">
        <v>259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>
        <f t="shared" si="7"/>
        <v>0</v>
      </c>
      <c r="AF87" s="76"/>
      <c r="AG87" s="76"/>
      <c r="AH87" s="76"/>
      <c r="AI87" s="76"/>
      <c r="AJ87" s="76"/>
      <c r="AK87" s="76"/>
      <c r="AL87" s="24">
        <f>+'Gen Rev'!AI87-'Gen Exp'!AE87+'Gen Exp'!AI87-AK87</f>
        <v>0</v>
      </c>
      <c r="AM87" s="41" t="str">
        <f>'Gen Rev'!A87</f>
        <v>Brady Lake</v>
      </c>
      <c r="AN87" s="21" t="str">
        <f t="shared" si="8"/>
        <v>Brady Lake</v>
      </c>
      <c r="AO87" s="21" t="b">
        <f t="shared" si="9"/>
        <v>1</v>
      </c>
    </row>
    <row r="88" spans="1:41" s="21" customFormat="1" ht="12" customHeight="1" x14ac:dyDescent="0.2">
      <c r="A88" s="1" t="s">
        <v>317</v>
      </c>
      <c r="B88" s="1"/>
      <c r="C88" s="1" t="s">
        <v>751</v>
      </c>
      <c r="D88" s="15"/>
      <c r="E88" s="76">
        <v>1642802.6</v>
      </c>
      <c r="F88" s="76"/>
      <c r="G88" s="76">
        <v>3683.09</v>
      </c>
      <c r="H88" s="76"/>
      <c r="I88" s="76">
        <v>4950</v>
      </c>
      <c r="J88" s="76"/>
      <c r="K88" s="76">
        <v>55178.11</v>
      </c>
      <c r="L88" s="76"/>
      <c r="M88" s="76">
        <v>0</v>
      </c>
      <c r="N88" s="76"/>
      <c r="O88" s="76">
        <v>413771.55</v>
      </c>
      <c r="P88" s="76"/>
      <c r="Q88" s="76">
        <v>716486.18</v>
      </c>
      <c r="R88" s="76"/>
      <c r="S88" s="76">
        <v>57355.43</v>
      </c>
      <c r="T88" s="76"/>
      <c r="U88" s="76">
        <v>0</v>
      </c>
      <c r="V88" s="76"/>
      <c r="W88" s="76">
        <v>0</v>
      </c>
      <c r="X88" s="76"/>
      <c r="Y88" s="76">
        <v>110429.46</v>
      </c>
      <c r="Z88" s="76"/>
      <c r="AA88" s="76">
        <v>0</v>
      </c>
      <c r="AB88" s="76"/>
      <c r="AC88" s="76">
        <v>0</v>
      </c>
      <c r="AD88" s="76"/>
      <c r="AE88" s="76">
        <f t="shared" si="7"/>
        <v>3004656.4200000004</v>
      </c>
      <c r="AF88" s="76"/>
      <c r="AG88" s="76">
        <v>449449.02</v>
      </c>
      <c r="AH88" s="76"/>
      <c r="AI88" s="76">
        <v>638375.71</v>
      </c>
      <c r="AJ88" s="76"/>
      <c r="AK88" s="76">
        <v>1087824.73</v>
      </c>
      <c r="AL88" s="24">
        <f>+'Gen Rev'!AI88-'Gen Exp'!AE88+'Gen Exp'!AI88-AK88</f>
        <v>0</v>
      </c>
      <c r="AM88" s="41" t="str">
        <f>'Gen Rev'!A88</f>
        <v>Bratenahl</v>
      </c>
      <c r="AN88" s="21" t="str">
        <f t="shared" si="8"/>
        <v>Bratenahl</v>
      </c>
      <c r="AO88" s="21" t="b">
        <f t="shared" si="9"/>
        <v>1</v>
      </c>
    </row>
    <row r="89" spans="1:41" s="10" customFormat="1" ht="12" customHeight="1" x14ac:dyDescent="0.2">
      <c r="A89" s="1" t="s">
        <v>61</v>
      </c>
      <c r="B89" s="1"/>
      <c r="C89" s="1" t="s">
        <v>756</v>
      </c>
      <c r="D89" s="1"/>
      <c r="E89" s="76">
        <v>77791.12</v>
      </c>
      <c r="F89" s="76"/>
      <c r="G89" s="76">
        <v>0</v>
      </c>
      <c r="H89" s="76"/>
      <c r="I89" s="76">
        <v>30402.92</v>
      </c>
      <c r="J89" s="76"/>
      <c r="K89" s="76">
        <v>3616.8</v>
      </c>
      <c r="L89" s="76"/>
      <c r="M89" s="76">
        <v>0</v>
      </c>
      <c r="N89" s="76"/>
      <c r="O89" s="76">
        <v>35043.879999999997</v>
      </c>
      <c r="P89" s="76"/>
      <c r="Q89" s="76">
        <v>119726.02</v>
      </c>
      <c r="R89" s="76"/>
      <c r="S89" s="76">
        <v>0</v>
      </c>
      <c r="T89" s="76"/>
      <c r="U89" s="76">
        <v>0</v>
      </c>
      <c r="V89" s="76"/>
      <c r="W89" s="76">
        <v>0</v>
      </c>
      <c r="X89" s="76"/>
      <c r="Y89" s="76">
        <v>103000</v>
      </c>
      <c r="Z89" s="76"/>
      <c r="AA89" s="76">
        <v>0</v>
      </c>
      <c r="AB89" s="76"/>
      <c r="AC89" s="76">
        <v>0</v>
      </c>
      <c r="AD89" s="76"/>
      <c r="AE89" s="76">
        <f t="shared" si="7"/>
        <v>369580.74</v>
      </c>
      <c r="AF89" s="76"/>
      <c r="AG89" s="76">
        <v>116930.62</v>
      </c>
      <c r="AH89" s="76"/>
      <c r="AI89" s="76">
        <v>170639.44</v>
      </c>
      <c r="AJ89" s="76"/>
      <c r="AK89" s="76">
        <v>287570.06</v>
      </c>
      <c r="AL89" s="24">
        <f>+'Gen Rev'!AI89-'Gen Exp'!AE89+'Gen Exp'!AI89-AK89</f>
        <v>0</v>
      </c>
      <c r="AM89" s="41" t="str">
        <f>'Gen Rev'!A89</f>
        <v>Bremen</v>
      </c>
      <c r="AN89" s="21" t="str">
        <f t="shared" si="8"/>
        <v>Bremen</v>
      </c>
      <c r="AO89" s="21" t="b">
        <f t="shared" si="9"/>
        <v>1</v>
      </c>
    </row>
    <row r="90" spans="1:41" s="21" customFormat="1" ht="12" customHeight="1" x14ac:dyDescent="0.2">
      <c r="A90" s="1" t="s">
        <v>541</v>
      </c>
      <c r="B90" s="1"/>
      <c r="C90" s="1" t="s">
        <v>540</v>
      </c>
      <c r="D90" s="1"/>
      <c r="E90" s="76">
        <v>468709</v>
      </c>
      <c r="F90" s="76"/>
      <c r="G90" s="76">
        <v>8394</v>
      </c>
      <c r="H90" s="76"/>
      <c r="I90" s="76">
        <v>0</v>
      </c>
      <c r="J90" s="76"/>
      <c r="K90" s="76">
        <v>1663</v>
      </c>
      <c r="L90" s="76"/>
      <c r="M90" s="76">
        <v>7875</v>
      </c>
      <c r="N90" s="76"/>
      <c r="O90" s="76">
        <v>36489</v>
      </c>
      <c r="P90" s="76"/>
      <c r="Q90" s="76">
        <v>169247</v>
      </c>
      <c r="R90" s="76"/>
      <c r="S90" s="76">
        <v>29928</v>
      </c>
      <c r="T90" s="76"/>
      <c r="U90" s="76">
        <v>0</v>
      </c>
      <c r="V90" s="76"/>
      <c r="W90" s="76">
        <v>0</v>
      </c>
      <c r="X90" s="76"/>
      <c r="Y90" s="76">
        <v>201265</v>
      </c>
      <c r="Z90" s="76"/>
      <c r="AA90" s="76">
        <v>0</v>
      </c>
      <c r="AB90" s="76"/>
      <c r="AC90" s="76">
        <v>9188</v>
      </c>
      <c r="AD90" s="76"/>
      <c r="AE90" s="76">
        <f t="shared" si="7"/>
        <v>932758</v>
      </c>
      <c r="AF90" s="76"/>
      <c r="AG90" s="76">
        <v>-37169</v>
      </c>
      <c r="AH90" s="76"/>
      <c r="AI90" s="76">
        <v>173835</v>
      </c>
      <c r="AJ90" s="76"/>
      <c r="AK90" s="76">
        <v>136666</v>
      </c>
      <c r="AL90" s="24">
        <f>+'Gen Rev'!AI90-'Gen Exp'!AE90+'Gen Exp'!AI90-AK90</f>
        <v>0</v>
      </c>
      <c r="AM90" s="41" t="str">
        <f>'Gen Rev'!A90</f>
        <v>Brewster</v>
      </c>
      <c r="AN90" s="21" t="str">
        <f t="shared" si="8"/>
        <v>Brewster</v>
      </c>
      <c r="AO90" s="21" t="b">
        <f t="shared" si="9"/>
        <v>1</v>
      </c>
    </row>
    <row r="91" spans="1:41" ht="12" customHeight="1" x14ac:dyDescent="0.2">
      <c r="A91" s="15" t="s">
        <v>72</v>
      </c>
      <c r="B91" s="15"/>
      <c r="C91" s="15" t="s">
        <v>758</v>
      </c>
      <c r="D91" s="23"/>
      <c r="E91" s="76">
        <v>100251.03</v>
      </c>
      <c r="F91" s="76"/>
      <c r="G91" s="76">
        <v>0</v>
      </c>
      <c r="H91" s="76"/>
      <c r="I91" s="76">
        <v>0</v>
      </c>
      <c r="J91" s="76"/>
      <c r="K91" s="76">
        <v>0</v>
      </c>
      <c r="L91" s="76"/>
      <c r="M91" s="76">
        <v>0</v>
      </c>
      <c r="N91" s="76"/>
      <c r="O91" s="76">
        <v>0</v>
      </c>
      <c r="P91" s="76"/>
      <c r="Q91" s="76">
        <v>76044.240000000005</v>
      </c>
      <c r="R91" s="76"/>
      <c r="S91" s="76">
        <v>0</v>
      </c>
      <c r="T91" s="76"/>
      <c r="U91" s="76">
        <v>2400</v>
      </c>
      <c r="V91" s="76"/>
      <c r="W91" s="76">
        <v>1126.76</v>
      </c>
      <c r="X91" s="76"/>
      <c r="Y91" s="76">
        <v>0</v>
      </c>
      <c r="Z91" s="76"/>
      <c r="AA91" s="76">
        <v>0</v>
      </c>
      <c r="AB91" s="76"/>
      <c r="AC91" s="76">
        <v>0</v>
      </c>
      <c r="AD91" s="76"/>
      <c r="AE91" s="76">
        <f t="shared" si="7"/>
        <v>179822.03000000003</v>
      </c>
      <c r="AF91" s="76"/>
      <c r="AG91" s="76">
        <v>-21999.5</v>
      </c>
      <c r="AH91" s="76"/>
      <c r="AI91" s="76">
        <v>30154.95</v>
      </c>
      <c r="AJ91" s="76"/>
      <c r="AK91" s="76">
        <v>8155.45</v>
      </c>
      <c r="AL91" s="24">
        <f>+'Gen Rev'!AI91-'Gen Exp'!AE91+'Gen Exp'!AI91-AK91</f>
        <v>-2.8194335754960775E-11</v>
      </c>
      <c r="AM91" s="41" t="str">
        <f>'Gen Rev'!A91</f>
        <v>Brice</v>
      </c>
      <c r="AN91" s="21" t="str">
        <f t="shared" si="8"/>
        <v>Brice</v>
      </c>
      <c r="AO91" s="21" t="b">
        <f t="shared" si="9"/>
        <v>1</v>
      </c>
    </row>
    <row r="92" spans="1:41" s="21" customFormat="1" ht="12" customHeight="1" x14ac:dyDescent="0.2">
      <c r="A92" s="1" t="s">
        <v>281</v>
      </c>
      <c r="B92" s="1"/>
      <c r="C92" s="1" t="s">
        <v>279</v>
      </c>
      <c r="D92" s="23"/>
      <c r="E92" s="76">
        <v>313529.39</v>
      </c>
      <c r="F92" s="76"/>
      <c r="G92" s="76">
        <v>5647.69</v>
      </c>
      <c r="H92" s="76"/>
      <c r="I92" s="76">
        <v>2447.9499999999998</v>
      </c>
      <c r="J92" s="76"/>
      <c r="K92" s="76">
        <v>0</v>
      </c>
      <c r="L92" s="76"/>
      <c r="M92" s="76">
        <v>98353.61</v>
      </c>
      <c r="N92" s="76"/>
      <c r="O92" s="76">
        <v>0</v>
      </c>
      <c r="P92" s="76"/>
      <c r="Q92" s="76">
        <v>107594.07</v>
      </c>
      <c r="R92" s="76"/>
      <c r="S92" s="76">
        <v>0</v>
      </c>
      <c r="T92" s="76"/>
      <c r="U92" s="76">
        <v>6433.37</v>
      </c>
      <c r="V92" s="76"/>
      <c r="W92" s="76">
        <v>472.84</v>
      </c>
      <c r="X92" s="76"/>
      <c r="Y92" s="76">
        <v>0</v>
      </c>
      <c r="Z92" s="76"/>
      <c r="AA92" s="76">
        <v>0</v>
      </c>
      <c r="AB92" s="76"/>
      <c r="AC92" s="76">
        <v>1287.22</v>
      </c>
      <c r="AD92" s="76"/>
      <c r="AE92" s="76">
        <f t="shared" si="7"/>
        <v>535766.1399999999</v>
      </c>
      <c r="AF92" s="76"/>
      <c r="AG92" s="76">
        <v>106101.9</v>
      </c>
      <c r="AH92" s="76"/>
      <c r="AI92" s="76">
        <v>123516</v>
      </c>
      <c r="AJ92" s="76"/>
      <c r="AK92" s="76">
        <v>229617.9</v>
      </c>
      <c r="AL92" s="24">
        <f>+'Gen Rev'!AI92-'Gen Exp'!AE92+'Gen Exp'!AI92-AK92</f>
        <v>0</v>
      </c>
      <c r="AM92" s="41" t="str">
        <f>'Gen Rev'!A92</f>
        <v>Bridgeport</v>
      </c>
      <c r="AN92" s="21" t="str">
        <f t="shared" si="8"/>
        <v>Bridgeport</v>
      </c>
      <c r="AO92" s="21" t="b">
        <f t="shared" si="9"/>
        <v>1</v>
      </c>
    </row>
    <row r="93" spans="1:41" ht="12" customHeight="1" x14ac:dyDescent="0.2">
      <c r="A93" s="1" t="s">
        <v>318</v>
      </c>
      <c r="C93" s="1" t="s">
        <v>316</v>
      </c>
      <c r="E93" s="76">
        <v>2685132</v>
      </c>
      <c r="F93" s="76"/>
      <c r="G93" s="76">
        <v>172919</v>
      </c>
      <c r="H93" s="76"/>
      <c r="I93" s="76">
        <v>72323</v>
      </c>
      <c r="J93" s="76"/>
      <c r="K93" s="76">
        <v>40690</v>
      </c>
      <c r="L93" s="76"/>
      <c r="M93" s="76">
        <v>77345</v>
      </c>
      <c r="N93" s="76"/>
      <c r="O93" s="76">
        <v>492638</v>
      </c>
      <c r="P93" s="76"/>
      <c r="Q93" s="76">
        <v>1235675</v>
      </c>
      <c r="R93" s="76"/>
      <c r="S93" s="76">
        <v>0</v>
      </c>
      <c r="T93" s="76"/>
      <c r="U93" s="76">
        <v>0</v>
      </c>
      <c r="V93" s="76"/>
      <c r="W93" s="76">
        <v>0</v>
      </c>
      <c r="X93" s="76"/>
      <c r="Y93" s="76">
        <v>12276</v>
      </c>
      <c r="Z93" s="76"/>
      <c r="AA93" s="76">
        <v>0</v>
      </c>
      <c r="AB93" s="76"/>
      <c r="AC93" s="76">
        <v>0</v>
      </c>
      <c r="AD93" s="76"/>
      <c r="AE93" s="76">
        <f t="shared" si="7"/>
        <v>4788998</v>
      </c>
      <c r="AF93" s="76"/>
      <c r="AG93" s="76">
        <v>50725</v>
      </c>
      <c r="AH93" s="76"/>
      <c r="AI93" s="76">
        <v>1708610</v>
      </c>
      <c r="AJ93" s="76"/>
      <c r="AK93" s="76">
        <v>1759335</v>
      </c>
      <c r="AL93" s="24">
        <f>+'Gen Rev'!AI93-'Gen Exp'!AE93+'Gen Exp'!AI93-AK93</f>
        <v>0</v>
      </c>
      <c r="AM93" s="41" t="str">
        <f>'Gen Rev'!A93</f>
        <v>Brooklyn Heights</v>
      </c>
      <c r="AN93" s="21" t="str">
        <f t="shared" si="8"/>
        <v>Brooklyn Heights</v>
      </c>
      <c r="AO93" s="21" t="b">
        <f t="shared" si="9"/>
        <v>1</v>
      </c>
    </row>
    <row r="94" spans="1:41" s="21" customFormat="1" ht="12" customHeight="1" x14ac:dyDescent="0.2">
      <c r="A94" s="1" t="s">
        <v>16</v>
      </c>
      <c r="B94" s="1"/>
      <c r="C94" s="1" t="s">
        <v>741</v>
      </c>
      <c r="D94" s="23"/>
      <c r="E94" s="76">
        <v>32064.77</v>
      </c>
      <c r="F94" s="76"/>
      <c r="G94" s="76">
        <v>3624.08</v>
      </c>
      <c r="H94" s="76"/>
      <c r="I94" s="76">
        <v>191.39</v>
      </c>
      <c r="J94" s="76"/>
      <c r="K94" s="76">
        <v>0</v>
      </c>
      <c r="L94" s="76"/>
      <c r="M94" s="76">
        <v>88.62</v>
      </c>
      <c r="N94" s="76"/>
      <c r="O94" s="76">
        <v>5150.4799999999996</v>
      </c>
      <c r="P94" s="76"/>
      <c r="Q94" s="76">
        <v>51291.24</v>
      </c>
      <c r="R94" s="76"/>
      <c r="S94" s="76">
        <v>0</v>
      </c>
      <c r="T94" s="76"/>
      <c r="U94" s="76">
        <v>0</v>
      </c>
      <c r="V94" s="76"/>
      <c r="W94" s="76">
        <v>8116.66</v>
      </c>
      <c r="X94" s="76"/>
      <c r="Y94" s="76">
        <v>0</v>
      </c>
      <c r="Z94" s="76"/>
      <c r="AA94" s="76">
        <v>0</v>
      </c>
      <c r="AB94" s="76"/>
      <c r="AC94" s="76">
        <v>0</v>
      </c>
      <c r="AD94" s="76"/>
      <c r="AE94" s="76">
        <f t="shared" si="7"/>
        <v>100527.23999999999</v>
      </c>
      <c r="AF94" s="76"/>
      <c r="AG94" s="76">
        <v>1809.25</v>
      </c>
      <c r="AH94" s="76"/>
      <c r="AI94" s="76">
        <v>12070.3</v>
      </c>
      <c r="AJ94" s="76"/>
      <c r="AK94" s="76">
        <v>13879.55</v>
      </c>
      <c r="AL94" s="24">
        <f>+'Gen Rev'!AI94-'Gen Exp'!AE94+'Gen Exp'!AI94-AK94</f>
        <v>0</v>
      </c>
      <c r="AM94" s="41" t="str">
        <f>'Gen Rev'!A94</f>
        <v>Brookside</v>
      </c>
      <c r="AN94" s="21" t="str">
        <f t="shared" si="8"/>
        <v>Brookside</v>
      </c>
      <c r="AO94" s="21" t="b">
        <f t="shared" si="9"/>
        <v>1</v>
      </c>
    </row>
    <row r="95" spans="1:41" s="10" customFormat="1" ht="12" customHeight="1" x14ac:dyDescent="0.2">
      <c r="A95" s="1" t="s">
        <v>497</v>
      </c>
      <c r="B95" s="1"/>
      <c r="C95" s="1" t="s">
        <v>496</v>
      </c>
      <c r="D95" s="23"/>
      <c r="E95" s="76">
        <v>103.91</v>
      </c>
      <c r="F95" s="76"/>
      <c r="G95" s="76">
        <v>53.27</v>
      </c>
      <c r="H95" s="76"/>
      <c r="I95" s="76">
        <v>0</v>
      </c>
      <c r="J95" s="76"/>
      <c r="K95" s="76">
        <v>0</v>
      </c>
      <c r="L95" s="76"/>
      <c r="M95" s="76">
        <v>941.99</v>
      </c>
      <c r="N95" s="76"/>
      <c r="O95" s="76">
        <v>430</v>
      </c>
      <c r="P95" s="76"/>
      <c r="Q95" s="76">
        <v>9172.9</v>
      </c>
      <c r="R95" s="76"/>
      <c r="S95" s="76">
        <v>0</v>
      </c>
      <c r="T95" s="76"/>
      <c r="U95" s="76">
        <v>0</v>
      </c>
      <c r="V95" s="76"/>
      <c r="W95" s="76">
        <v>0</v>
      </c>
      <c r="X95" s="76"/>
      <c r="Y95" s="76">
        <v>0</v>
      </c>
      <c r="Z95" s="76"/>
      <c r="AA95" s="76">
        <v>0</v>
      </c>
      <c r="AB95" s="76"/>
      <c r="AC95" s="76">
        <v>10</v>
      </c>
      <c r="AD95" s="76"/>
      <c r="AE95" s="76">
        <f t="shared" si="7"/>
        <v>10712.07</v>
      </c>
      <c r="AF95" s="76"/>
      <c r="AG95" s="76">
        <v>1585.2</v>
      </c>
      <c r="AH95" s="76"/>
      <c r="AI95" s="76">
        <v>18917.48</v>
      </c>
      <c r="AJ95" s="76"/>
      <c r="AK95" s="76">
        <v>20502.68</v>
      </c>
      <c r="AL95" s="24">
        <f>+'Gen Rev'!AI95-'Gen Exp'!AE95+'Gen Exp'!AI95-AK95</f>
        <v>0</v>
      </c>
      <c r="AM95" s="41" t="str">
        <f>'Gen Rev'!A95</f>
        <v>Broughton</v>
      </c>
      <c r="AN95" s="21" t="str">
        <f t="shared" si="8"/>
        <v>Broughton</v>
      </c>
      <c r="AO95" s="21" t="b">
        <f t="shared" si="9"/>
        <v>1</v>
      </c>
    </row>
    <row r="96" spans="1:41" s="21" customFormat="1" ht="12" hidden="1" customHeight="1" x14ac:dyDescent="0.2">
      <c r="A96" s="1" t="s">
        <v>272</v>
      </c>
      <c r="B96" s="1"/>
      <c r="C96" s="1" t="s">
        <v>271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>
        <f t="shared" si="7"/>
        <v>0</v>
      </c>
      <c r="AF96" s="76"/>
      <c r="AG96" s="76"/>
      <c r="AH96" s="76"/>
      <c r="AI96" s="76"/>
      <c r="AJ96" s="76"/>
      <c r="AK96" s="76"/>
      <c r="AL96" s="24">
        <f>+'Gen Rev'!AI96-'Gen Exp'!AE96+'Gen Exp'!AI96-AK96</f>
        <v>0</v>
      </c>
      <c r="AM96" s="41" t="str">
        <f>'Gen Rev'!A96</f>
        <v>Buchtel</v>
      </c>
      <c r="AN96" s="21" t="str">
        <f t="shared" si="8"/>
        <v>Buchtel</v>
      </c>
      <c r="AO96" s="21" t="b">
        <f t="shared" si="9"/>
        <v>1</v>
      </c>
    </row>
    <row r="97" spans="1:41" ht="12" customHeight="1" x14ac:dyDescent="0.2">
      <c r="A97" s="1" t="s">
        <v>130</v>
      </c>
      <c r="C97" s="1" t="s">
        <v>774</v>
      </c>
      <c r="E97" s="76">
        <v>549.48</v>
      </c>
      <c r="F97" s="76"/>
      <c r="G97" s="76">
        <v>9565.91</v>
      </c>
      <c r="H97" s="76"/>
      <c r="I97" s="76">
        <v>3646.19</v>
      </c>
      <c r="J97" s="76"/>
      <c r="K97" s="76">
        <v>45265.89</v>
      </c>
      <c r="L97" s="76"/>
      <c r="M97" s="76">
        <v>0</v>
      </c>
      <c r="N97" s="76"/>
      <c r="O97" s="76">
        <v>0</v>
      </c>
      <c r="P97" s="76"/>
      <c r="Q97" s="76">
        <v>148094.85</v>
      </c>
      <c r="R97" s="76"/>
      <c r="S97" s="76">
        <v>0</v>
      </c>
      <c r="T97" s="76"/>
      <c r="U97" s="76">
        <v>0</v>
      </c>
      <c r="V97" s="76"/>
      <c r="W97" s="76">
        <v>0</v>
      </c>
      <c r="X97" s="76"/>
      <c r="Y97" s="76">
        <v>150000</v>
      </c>
      <c r="Z97" s="76"/>
      <c r="AA97" s="76">
        <v>0</v>
      </c>
      <c r="AB97" s="76"/>
      <c r="AC97" s="76">
        <v>872.4</v>
      </c>
      <c r="AD97" s="76"/>
      <c r="AE97" s="76">
        <f t="shared" si="7"/>
        <v>357994.72000000003</v>
      </c>
      <c r="AF97" s="76"/>
      <c r="AG97" s="76">
        <v>-33668.050000000003</v>
      </c>
      <c r="AH97" s="76"/>
      <c r="AI97" s="76">
        <v>157747.29999999999</v>
      </c>
      <c r="AJ97" s="76"/>
      <c r="AK97" s="76">
        <v>124079.25</v>
      </c>
      <c r="AL97" s="24">
        <f>+'Gen Rev'!AI97-'Gen Exp'!AE97+'Gen Exp'!AI97-AK97</f>
        <v>0</v>
      </c>
      <c r="AM97" s="41" t="str">
        <f>'Gen Rev'!A97</f>
        <v>Buckeye Lake</v>
      </c>
      <c r="AN97" s="21" t="str">
        <f t="shared" si="8"/>
        <v>Buckeye Lake</v>
      </c>
      <c r="AO97" s="21" t="b">
        <f t="shared" si="9"/>
        <v>1</v>
      </c>
    </row>
    <row r="98" spans="1:41" s="21" customFormat="1" ht="12" customHeight="1" x14ac:dyDescent="0.2">
      <c r="A98" s="1" t="s">
        <v>11</v>
      </c>
      <c r="B98" s="1"/>
      <c r="C98" s="1" t="s">
        <v>740</v>
      </c>
      <c r="D98" s="1"/>
      <c r="E98" s="76">
        <v>21151.39</v>
      </c>
      <c r="F98" s="76"/>
      <c r="G98" s="76">
        <v>0</v>
      </c>
      <c r="H98" s="76"/>
      <c r="I98" s="76">
        <v>8094.05</v>
      </c>
      <c r="J98" s="76"/>
      <c r="K98" s="76">
        <v>0</v>
      </c>
      <c r="L98" s="76"/>
      <c r="M98" s="76">
        <v>0</v>
      </c>
      <c r="N98" s="76"/>
      <c r="O98" s="76">
        <v>1988.92</v>
      </c>
      <c r="P98" s="76"/>
      <c r="Q98" s="76">
        <v>38911.46</v>
      </c>
      <c r="R98" s="76"/>
      <c r="S98" s="76">
        <v>0</v>
      </c>
      <c r="T98" s="76"/>
      <c r="U98" s="76">
        <v>0</v>
      </c>
      <c r="V98" s="76"/>
      <c r="W98" s="76">
        <v>0</v>
      </c>
      <c r="X98" s="76"/>
      <c r="Y98" s="76">
        <v>0</v>
      </c>
      <c r="Z98" s="76"/>
      <c r="AA98" s="76">
        <v>0</v>
      </c>
      <c r="AB98" s="76"/>
      <c r="AC98" s="76">
        <v>0</v>
      </c>
      <c r="AD98" s="76"/>
      <c r="AE98" s="76">
        <f t="shared" si="7"/>
        <v>70145.820000000007</v>
      </c>
      <c r="AF98" s="76"/>
      <c r="AG98" s="76">
        <v>-11095.04</v>
      </c>
      <c r="AH98" s="76"/>
      <c r="AI98" s="76">
        <v>38809.29</v>
      </c>
      <c r="AJ98" s="76"/>
      <c r="AK98" s="76">
        <v>27714.25</v>
      </c>
      <c r="AL98" s="24">
        <f>+'Gen Rev'!AI98-'Gen Exp'!AE98+'Gen Exp'!AI98-AK98</f>
        <v>0</v>
      </c>
      <c r="AM98" s="41" t="str">
        <f>'Gen Rev'!A98</f>
        <v>Buckland</v>
      </c>
      <c r="AN98" s="21" t="str">
        <f t="shared" si="8"/>
        <v>Buckland</v>
      </c>
      <c r="AO98" s="21" t="b">
        <f t="shared" si="9"/>
        <v>1</v>
      </c>
    </row>
    <row r="99" spans="1:41" ht="12" customHeight="1" x14ac:dyDescent="0.2">
      <c r="A99" s="1" t="s">
        <v>248</v>
      </c>
      <c r="C99" s="1" t="s">
        <v>811</v>
      </c>
      <c r="E99" s="76">
        <v>0</v>
      </c>
      <c r="F99" s="76"/>
      <c r="G99" s="76">
        <v>0</v>
      </c>
      <c r="H99" s="76"/>
      <c r="I99" s="76">
        <v>0</v>
      </c>
      <c r="J99" s="76"/>
      <c r="K99" s="76">
        <v>1789.51</v>
      </c>
      <c r="L99" s="76"/>
      <c r="M99" s="76">
        <v>5295.08</v>
      </c>
      <c r="N99" s="76"/>
      <c r="O99" s="76">
        <v>0</v>
      </c>
      <c r="P99" s="76"/>
      <c r="Q99" s="76">
        <v>23020.35</v>
      </c>
      <c r="R99" s="76"/>
      <c r="S99" s="76">
        <v>0</v>
      </c>
      <c r="T99" s="76"/>
      <c r="U99" s="76">
        <v>15000</v>
      </c>
      <c r="V99" s="76"/>
      <c r="W99" s="76">
        <v>0</v>
      </c>
      <c r="X99" s="76"/>
      <c r="Y99" s="76">
        <v>0</v>
      </c>
      <c r="Z99" s="76"/>
      <c r="AA99" s="76">
        <v>0</v>
      </c>
      <c r="AB99" s="76"/>
      <c r="AC99" s="76">
        <v>773.16</v>
      </c>
      <c r="AD99" s="76"/>
      <c r="AE99" s="76">
        <f t="shared" si="7"/>
        <v>45878.100000000006</v>
      </c>
      <c r="AF99" s="76"/>
      <c r="AG99" s="76">
        <v>1079.32</v>
      </c>
      <c r="AH99" s="76"/>
      <c r="AI99" s="76">
        <v>39661.67</v>
      </c>
      <c r="AJ99" s="76"/>
      <c r="AK99" s="76">
        <v>40740.99</v>
      </c>
      <c r="AL99" s="24">
        <f>+'Gen Rev'!AI99-'Gen Exp'!AE99+'Gen Exp'!AI99-AK99</f>
        <v>0</v>
      </c>
      <c r="AM99" s="41" t="str">
        <f>'Gen Rev'!A99</f>
        <v>Burbank</v>
      </c>
      <c r="AN99" s="21" t="str">
        <f t="shared" si="8"/>
        <v>Burbank</v>
      </c>
      <c r="AO99" s="21" t="b">
        <f t="shared" si="9"/>
        <v>1</v>
      </c>
    </row>
    <row r="100" spans="1:41" s="15" customFormat="1" ht="12" customHeight="1" x14ac:dyDescent="0.2">
      <c r="A100" s="15" t="s">
        <v>524</v>
      </c>
      <c r="C100" s="15" t="s">
        <v>525</v>
      </c>
      <c r="D100" s="1"/>
      <c r="E100" s="76">
        <v>2931.66</v>
      </c>
      <c r="F100" s="76"/>
      <c r="G100" s="76">
        <v>0</v>
      </c>
      <c r="H100" s="76"/>
      <c r="I100" s="76">
        <v>3494.11</v>
      </c>
      <c r="J100" s="76"/>
      <c r="K100" s="76">
        <v>0</v>
      </c>
      <c r="L100" s="76"/>
      <c r="M100" s="76">
        <v>6270</v>
      </c>
      <c r="N100" s="76"/>
      <c r="O100" s="76">
        <v>0</v>
      </c>
      <c r="P100" s="76"/>
      <c r="Q100" s="76">
        <v>13523.61</v>
      </c>
      <c r="R100" s="76"/>
      <c r="S100" s="76">
        <v>0</v>
      </c>
      <c r="T100" s="76"/>
      <c r="U100" s="76">
        <v>0</v>
      </c>
      <c r="V100" s="76"/>
      <c r="W100" s="76">
        <v>0</v>
      </c>
      <c r="X100" s="76"/>
      <c r="Y100" s="76">
        <v>0</v>
      </c>
      <c r="Z100" s="76"/>
      <c r="AA100" s="76">
        <v>0</v>
      </c>
      <c r="AB100" s="76"/>
      <c r="AC100" s="76">
        <v>0</v>
      </c>
      <c r="AD100" s="76"/>
      <c r="AE100" s="76">
        <f t="shared" si="7"/>
        <v>26219.38</v>
      </c>
      <c r="AF100" s="76"/>
      <c r="AG100" s="76">
        <v>5300.97</v>
      </c>
      <c r="AH100" s="76"/>
      <c r="AI100" s="76">
        <v>33765.93</v>
      </c>
      <c r="AJ100" s="76"/>
      <c r="AK100" s="76">
        <v>39066.9</v>
      </c>
      <c r="AL100" s="24">
        <f>+'Gen Rev'!AI100-'Gen Exp'!AE100+'Gen Exp'!AI100-AK100</f>
        <v>0</v>
      </c>
      <c r="AM100" s="41" t="str">
        <f>'Gen Rev'!A100</f>
        <v>Burgoon</v>
      </c>
      <c r="AN100" s="21" t="str">
        <f t="shared" si="8"/>
        <v>Burgoon</v>
      </c>
      <c r="AO100" s="21" t="b">
        <f t="shared" si="9"/>
        <v>1</v>
      </c>
    </row>
    <row r="101" spans="1:41" ht="12" customHeight="1" x14ac:dyDescent="0.2">
      <c r="A101" s="1" t="s">
        <v>465</v>
      </c>
      <c r="C101" s="1" t="s">
        <v>699</v>
      </c>
      <c r="E101" s="76">
        <v>6921</v>
      </c>
      <c r="F101" s="76"/>
      <c r="G101" s="76">
        <v>768</v>
      </c>
      <c r="H101" s="76"/>
      <c r="I101" s="76">
        <v>60</v>
      </c>
      <c r="J101" s="76"/>
      <c r="K101" s="76">
        <v>0</v>
      </c>
      <c r="L101" s="76"/>
      <c r="M101" s="76">
        <v>25</v>
      </c>
      <c r="N101" s="76"/>
      <c r="O101" s="76">
        <v>0</v>
      </c>
      <c r="P101" s="76"/>
      <c r="Q101" s="76">
        <v>18964</v>
      </c>
      <c r="R101" s="76"/>
      <c r="S101" s="76">
        <v>0</v>
      </c>
      <c r="T101" s="76"/>
      <c r="U101" s="76">
        <v>26414</v>
      </c>
      <c r="V101" s="76"/>
      <c r="W101" s="76">
        <v>0</v>
      </c>
      <c r="X101" s="76"/>
      <c r="Y101" s="76">
        <v>0</v>
      </c>
      <c r="Z101" s="76"/>
      <c r="AA101" s="76">
        <v>0</v>
      </c>
      <c r="AB101" s="76"/>
      <c r="AC101" s="76">
        <v>0</v>
      </c>
      <c r="AD101" s="76"/>
      <c r="AE101" s="76">
        <f t="shared" si="7"/>
        <v>53152</v>
      </c>
      <c r="AF101" s="76"/>
      <c r="AG101" s="76">
        <v>1646</v>
      </c>
      <c r="AH101" s="76"/>
      <c r="AI101" s="76">
        <v>17521</v>
      </c>
      <c r="AJ101" s="76"/>
      <c r="AK101" s="76">
        <v>19167</v>
      </c>
      <c r="AL101" s="24">
        <f>+'Gen Rev'!AI101-'Gen Exp'!AE101+'Gen Exp'!AI101-AK101</f>
        <v>0</v>
      </c>
      <c r="AM101" s="41" t="str">
        <f>'Gen Rev'!A101</f>
        <v>Burkettsville</v>
      </c>
      <c r="AN101" s="21" t="str">
        <f t="shared" si="8"/>
        <v>Burkettsville</v>
      </c>
      <c r="AO101" s="21" t="b">
        <f t="shared" si="9"/>
        <v>1</v>
      </c>
    </row>
    <row r="102" spans="1:41" ht="12" customHeight="1" x14ac:dyDescent="0.2">
      <c r="A102" s="1" t="s">
        <v>683</v>
      </c>
      <c r="C102" s="1" t="s">
        <v>368</v>
      </c>
      <c r="E102" s="76">
        <v>0</v>
      </c>
      <c r="F102" s="76"/>
      <c r="G102" s="76">
        <v>0</v>
      </c>
      <c r="H102" s="76"/>
      <c r="I102" s="76">
        <v>20153</v>
      </c>
      <c r="J102" s="76"/>
      <c r="K102" s="76">
        <v>10200</v>
      </c>
      <c r="L102" s="76"/>
      <c r="M102" s="76">
        <v>0</v>
      </c>
      <c r="N102" s="76"/>
      <c r="O102" s="76">
        <v>0</v>
      </c>
      <c r="P102" s="76"/>
      <c r="Q102" s="76">
        <v>176434</v>
      </c>
      <c r="R102" s="76"/>
      <c r="S102" s="76">
        <v>0</v>
      </c>
      <c r="T102" s="76"/>
      <c r="U102" s="76">
        <v>0</v>
      </c>
      <c r="V102" s="76"/>
      <c r="W102" s="76">
        <v>0</v>
      </c>
      <c r="X102" s="76"/>
      <c r="Y102" s="76">
        <v>389660</v>
      </c>
      <c r="Z102" s="76"/>
      <c r="AA102" s="76">
        <v>23000</v>
      </c>
      <c r="AB102" s="76"/>
      <c r="AC102" s="76">
        <v>28932</v>
      </c>
      <c r="AD102" s="76"/>
      <c r="AE102" s="76">
        <f t="shared" si="7"/>
        <v>648379</v>
      </c>
      <c r="AF102" s="76"/>
      <c r="AG102" s="76">
        <v>79822</v>
      </c>
      <c r="AH102" s="76"/>
      <c r="AI102" s="76">
        <v>1184167</v>
      </c>
      <c r="AJ102" s="76"/>
      <c r="AK102" s="76">
        <v>1263989</v>
      </c>
      <c r="AL102" s="24">
        <f>+'Gen Rev'!AI102-'Gen Exp'!AE102+'Gen Exp'!AI102-AK102</f>
        <v>0</v>
      </c>
      <c r="AM102" s="41" t="str">
        <f>'Gen Rev'!A102</f>
        <v>Burton</v>
      </c>
      <c r="AN102" s="21" t="str">
        <f t="shared" si="8"/>
        <v>Burton</v>
      </c>
      <c r="AO102" s="21" t="b">
        <f t="shared" si="9"/>
        <v>1</v>
      </c>
    </row>
    <row r="103" spans="1:41" s="15" customFormat="1" ht="12" customHeight="1" x14ac:dyDescent="0.2">
      <c r="A103" s="15" t="s">
        <v>518</v>
      </c>
      <c r="C103" s="15" t="s">
        <v>519</v>
      </c>
      <c r="E103" s="76">
        <v>69248</v>
      </c>
      <c r="F103" s="76"/>
      <c r="G103" s="76">
        <v>0</v>
      </c>
      <c r="H103" s="76"/>
      <c r="I103" s="76">
        <v>0</v>
      </c>
      <c r="J103" s="76"/>
      <c r="K103" s="76">
        <v>6051</v>
      </c>
      <c r="L103" s="76"/>
      <c r="M103" s="76">
        <v>181932</v>
      </c>
      <c r="N103" s="76"/>
      <c r="O103" s="76">
        <v>86445</v>
      </c>
      <c r="P103" s="76"/>
      <c r="Q103" s="76">
        <v>125947</v>
      </c>
      <c r="R103" s="76"/>
      <c r="S103" s="76">
        <v>5828</v>
      </c>
      <c r="T103" s="76"/>
      <c r="U103" s="76">
        <v>0</v>
      </c>
      <c r="V103" s="76"/>
      <c r="W103" s="76">
        <v>0</v>
      </c>
      <c r="X103" s="76"/>
      <c r="Y103" s="76">
        <v>0</v>
      </c>
      <c r="Z103" s="76"/>
      <c r="AA103" s="76">
        <v>0</v>
      </c>
      <c r="AB103" s="76"/>
      <c r="AC103" s="76">
        <v>0</v>
      </c>
      <c r="AD103" s="76"/>
      <c r="AE103" s="76">
        <f t="shared" si="7"/>
        <v>475451</v>
      </c>
      <c r="AF103" s="76"/>
      <c r="AG103" s="76">
        <v>8836</v>
      </c>
      <c r="AH103" s="76"/>
      <c r="AI103" s="76">
        <v>0</v>
      </c>
      <c r="AJ103" s="76"/>
      <c r="AK103" s="76">
        <v>8836</v>
      </c>
      <c r="AL103" s="24">
        <f>+'Gen Rev'!AI103-'Gen Exp'!AE103+'Gen Exp'!AI103-AK103</f>
        <v>0</v>
      </c>
      <c r="AM103" s="41" t="str">
        <f>'Gen Rev'!A103</f>
        <v>Butler</v>
      </c>
      <c r="AN103" s="21" t="str">
        <f t="shared" si="8"/>
        <v>Butler</v>
      </c>
      <c r="AO103" s="21" t="b">
        <f t="shared" si="9"/>
        <v>1</v>
      </c>
    </row>
    <row r="104" spans="1:41" ht="12" customHeight="1" x14ac:dyDescent="0.2">
      <c r="A104" s="1" t="s">
        <v>241</v>
      </c>
      <c r="C104" s="1" t="s">
        <v>809</v>
      </c>
      <c r="D104" s="23"/>
      <c r="E104" s="76">
        <v>1895.51</v>
      </c>
      <c r="F104" s="76"/>
      <c r="G104" s="76">
        <v>0</v>
      </c>
      <c r="H104" s="76"/>
      <c r="I104" s="76">
        <v>0</v>
      </c>
      <c r="J104" s="76"/>
      <c r="K104" s="76">
        <v>0</v>
      </c>
      <c r="L104" s="76"/>
      <c r="M104" s="76">
        <v>0</v>
      </c>
      <c r="N104" s="76"/>
      <c r="O104" s="76">
        <v>0</v>
      </c>
      <c r="P104" s="76"/>
      <c r="Q104" s="76">
        <v>7755.73</v>
      </c>
      <c r="R104" s="76"/>
      <c r="S104" s="76">
        <v>0</v>
      </c>
      <c r="T104" s="76"/>
      <c r="U104" s="76">
        <v>0</v>
      </c>
      <c r="V104" s="76"/>
      <c r="W104" s="76">
        <v>0</v>
      </c>
      <c r="X104" s="76"/>
      <c r="Y104" s="76">
        <v>0</v>
      </c>
      <c r="Z104" s="76"/>
      <c r="AA104" s="76">
        <v>0</v>
      </c>
      <c r="AB104" s="76"/>
      <c r="AC104" s="76">
        <v>0</v>
      </c>
      <c r="AD104" s="76"/>
      <c r="AE104" s="76">
        <f t="shared" si="7"/>
        <v>9651.24</v>
      </c>
      <c r="AF104" s="76"/>
      <c r="AG104" s="76">
        <v>2645.37</v>
      </c>
      <c r="AH104" s="76"/>
      <c r="AI104" s="76">
        <v>11545.81</v>
      </c>
      <c r="AJ104" s="76"/>
      <c r="AK104" s="76">
        <v>14191.18</v>
      </c>
      <c r="AL104" s="24">
        <f>+'Gen Rev'!AI104-'Gen Exp'!AE104+'Gen Exp'!AI104-AK104</f>
        <v>0</v>
      </c>
      <c r="AM104" s="41" t="str">
        <f>'Gen Rev'!A104</f>
        <v>Butlerville</v>
      </c>
      <c r="AN104" s="21" t="str">
        <f t="shared" si="8"/>
        <v>Butlerville</v>
      </c>
      <c r="AO104" s="21" t="b">
        <f t="shared" si="9"/>
        <v>1</v>
      </c>
    </row>
    <row r="105" spans="1:41" s="21" customFormat="1" ht="12" customHeight="1" x14ac:dyDescent="0.2">
      <c r="A105" s="1" t="s">
        <v>86</v>
      </c>
      <c r="B105" s="1"/>
      <c r="C105" s="1" t="s">
        <v>762</v>
      </c>
      <c r="D105" s="1"/>
      <c r="E105" s="76">
        <v>72917.41</v>
      </c>
      <c r="F105" s="76"/>
      <c r="G105" s="76">
        <v>0</v>
      </c>
      <c r="H105" s="76"/>
      <c r="I105" s="76">
        <v>0</v>
      </c>
      <c r="J105" s="76"/>
      <c r="K105" s="76">
        <v>0</v>
      </c>
      <c r="L105" s="76"/>
      <c r="M105" s="76">
        <v>54701.75</v>
      </c>
      <c r="N105" s="76"/>
      <c r="O105" s="76">
        <v>0</v>
      </c>
      <c r="P105" s="76"/>
      <c r="Q105" s="76">
        <v>197353.89</v>
      </c>
      <c r="R105" s="76"/>
      <c r="S105" s="76">
        <v>103565.67</v>
      </c>
      <c r="T105" s="76"/>
      <c r="U105" s="76">
        <v>0</v>
      </c>
      <c r="V105" s="76"/>
      <c r="W105" s="76">
        <v>0</v>
      </c>
      <c r="X105" s="76"/>
      <c r="Y105" s="76">
        <v>50000</v>
      </c>
      <c r="Z105" s="76"/>
      <c r="AA105" s="76">
        <v>0</v>
      </c>
      <c r="AB105" s="76"/>
      <c r="AC105" s="76">
        <v>0</v>
      </c>
      <c r="AD105" s="76"/>
      <c r="AE105" s="76">
        <f t="shared" si="7"/>
        <v>478538.72000000003</v>
      </c>
      <c r="AF105" s="76"/>
      <c r="AG105" s="76">
        <v>53758.87</v>
      </c>
      <c r="AH105" s="76"/>
      <c r="AI105" s="76">
        <v>159616.95999999999</v>
      </c>
      <c r="AJ105" s="76"/>
      <c r="AK105" s="76">
        <v>213375.83</v>
      </c>
      <c r="AL105" s="24">
        <f>+'Gen Rev'!AI105-'Gen Exp'!AE105+'Gen Exp'!AI105-AK105</f>
        <v>0</v>
      </c>
      <c r="AM105" s="41" t="str">
        <f>'Gen Rev'!A105</f>
        <v>Byesville</v>
      </c>
      <c r="AN105" s="21" t="str">
        <f t="shared" si="8"/>
        <v>Byesville</v>
      </c>
      <c r="AO105" s="21" t="b">
        <f t="shared" si="9"/>
        <v>1</v>
      </c>
    </row>
    <row r="106" spans="1:41" s="21" customFormat="1" ht="12" customHeight="1" x14ac:dyDescent="0.2">
      <c r="A106" s="1" t="s">
        <v>100</v>
      </c>
      <c r="B106" s="1"/>
      <c r="C106" s="1" t="s">
        <v>403</v>
      </c>
      <c r="D106" s="1"/>
      <c r="E106" s="76">
        <v>471357.1</v>
      </c>
      <c r="F106" s="76"/>
      <c r="G106" s="76">
        <v>22280.22</v>
      </c>
      <c r="H106" s="76"/>
      <c r="I106" s="76">
        <v>384927.24</v>
      </c>
      <c r="J106" s="76"/>
      <c r="K106" s="76">
        <v>1639.15</v>
      </c>
      <c r="L106" s="76"/>
      <c r="M106" s="76">
        <v>21404.23</v>
      </c>
      <c r="N106" s="76"/>
      <c r="O106" s="76">
        <v>188247.92</v>
      </c>
      <c r="P106" s="76"/>
      <c r="Q106" s="76">
        <v>316838.86</v>
      </c>
      <c r="R106" s="76"/>
      <c r="S106" s="76">
        <v>220369.52</v>
      </c>
      <c r="T106" s="76"/>
      <c r="U106" s="76">
        <v>52803.75</v>
      </c>
      <c r="V106" s="76"/>
      <c r="W106" s="76">
        <v>0</v>
      </c>
      <c r="X106" s="76"/>
      <c r="Y106" s="76">
        <v>0</v>
      </c>
      <c r="Z106" s="76"/>
      <c r="AA106" s="76">
        <v>0</v>
      </c>
      <c r="AB106" s="76"/>
      <c r="AC106" s="76">
        <v>0</v>
      </c>
      <c r="AD106" s="76"/>
      <c r="AE106" s="76">
        <f t="shared" si="7"/>
        <v>1679867.9899999998</v>
      </c>
      <c r="AF106" s="76"/>
      <c r="AG106" s="76">
        <v>1066885.06</v>
      </c>
      <c r="AH106" s="76"/>
      <c r="AI106" s="76">
        <v>265103.56</v>
      </c>
      <c r="AJ106" s="76"/>
      <c r="AK106" s="76">
        <v>1331988.6200000001</v>
      </c>
      <c r="AL106" s="24">
        <f>+'Gen Rev'!AI106-'Gen Exp'!AE106+'Gen Exp'!AI106-AK106</f>
        <v>0</v>
      </c>
      <c r="AM106" s="41" t="str">
        <f>'Gen Rev'!A106</f>
        <v>Cadiz</v>
      </c>
      <c r="AN106" s="21" t="str">
        <f t="shared" si="8"/>
        <v>Cadiz</v>
      </c>
      <c r="AO106" s="21" t="b">
        <f t="shared" si="9"/>
        <v>1</v>
      </c>
    </row>
    <row r="107" spans="1:41" s="21" customFormat="1" ht="12" customHeight="1" x14ac:dyDescent="0.2">
      <c r="A107" s="1" t="s">
        <v>702</v>
      </c>
      <c r="B107" s="1"/>
      <c r="C107" s="1" t="s">
        <v>703</v>
      </c>
      <c r="D107" s="49"/>
      <c r="E107" s="76">
        <v>14278.53</v>
      </c>
      <c r="F107" s="76"/>
      <c r="G107" s="76">
        <v>1347.42</v>
      </c>
      <c r="H107" s="76"/>
      <c r="I107" s="76">
        <v>7177.09</v>
      </c>
      <c r="J107" s="76"/>
      <c r="K107" s="76">
        <v>2928.71</v>
      </c>
      <c r="L107" s="76"/>
      <c r="M107" s="76">
        <v>0</v>
      </c>
      <c r="N107" s="76"/>
      <c r="O107" s="76">
        <v>0</v>
      </c>
      <c r="P107" s="76"/>
      <c r="Q107" s="76">
        <v>56870.76</v>
      </c>
      <c r="R107" s="76"/>
      <c r="S107" s="76">
        <v>0</v>
      </c>
      <c r="T107" s="76"/>
      <c r="U107" s="76">
        <v>0</v>
      </c>
      <c r="V107" s="76"/>
      <c r="W107" s="76">
        <v>0</v>
      </c>
      <c r="X107" s="76"/>
      <c r="Y107" s="76">
        <v>0</v>
      </c>
      <c r="Z107" s="76"/>
      <c r="AA107" s="76">
        <v>0</v>
      </c>
      <c r="AB107" s="76"/>
      <c r="AC107" s="76">
        <v>0</v>
      </c>
      <c r="AD107" s="76"/>
      <c r="AE107" s="76">
        <f t="shared" si="7"/>
        <v>82602.510000000009</v>
      </c>
      <c r="AF107" s="76"/>
      <c r="AG107" s="76">
        <v>20269.28</v>
      </c>
      <c r="AH107" s="76"/>
      <c r="AI107" s="76">
        <v>111408.11</v>
      </c>
      <c r="AJ107" s="76"/>
      <c r="AK107" s="76">
        <v>131677.39000000001</v>
      </c>
      <c r="AL107" s="24">
        <f>+'Gen Rev'!AI107-'Gen Exp'!AE107+'Gen Exp'!AI107-AK107</f>
        <v>0</v>
      </c>
      <c r="AM107" s="41" t="str">
        <f>'Gen Rev'!A107</f>
        <v>Cairo</v>
      </c>
      <c r="AN107" s="21" t="str">
        <f t="shared" si="8"/>
        <v>Cairo</v>
      </c>
      <c r="AO107" s="21" t="b">
        <f t="shared" si="9"/>
        <v>1</v>
      </c>
    </row>
    <row r="108" spans="1:41" ht="12" customHeight="1" x14ac:dyDescent="0.2">
      <c r="A108" s="1" t="s">
        <v>177</v>
      </c>
      <c r="C108" s="1" t="s">
        <v>790</v>
      </c>
      <c r="D108" s="23"/>
      <c r="E108" s="76">
        <v>126878.97</v>
      </c>
      <c r="F108" s="76"/>
      <c r="G108" s="76">
        <v>0</v>
      </c>
      <c r="H108" s="76"/>
      <c r="I108" s="76">
        <v>0</v>
      </c>
      <c r="J108" s="76"/>
      <c r="K108" s="76">
        <v>770</v>
      </c>
      <c r="L108" s="76"/>
      <c r="M108" s="76">
        <v>0</v>
      </c>
      <c r="N108" s="76"/>
      <c r="O108" s="76">
        <v>183942.64</v>
      </c>
      <c r="P108" s="76"/>
      <c r="Q108" s="76">
        <v>278579.94</v>
      </c>
      <c r="R108" s="76"/>
      <c r="S108" s="76">
        <v>0</v>
      </c>
      <c r="T108" s="76"/>
      <c r="U108" s="76">
        <v>0</v>
      </c>
      <c r="V108" s="76"/>
      <c r="W108" s="76">
        <v>0</v>
      </c>
      <c r="X108" s="76"/>
      <c r="Y108" s="76">
        <v>0</v>
      </c>
      <c r="Z108" s="76"/>
      <c r="AA108" s="76">
        <v>0</v>
      </c>
      <c r="AB108" s="76"/>
      <c r="AC108" s="76">
        <v>7028.97</v>
      </c>
      <c r="AD108" s="76"/>
      <c r="AE108" s="76">
        <f t="shared" si="7"/>
        <v>597200.52</v>
      </c>
      <c r="AF108" s="76"/>
      <c r="AG108" s="76">
        <v>-23773.5</v>
      </c>
      <c r="AH108" s="76"/>
      <c r="AI108" s="76">
        <v>1586329.45</v>
      </c>
      <c r="AJ108" s="76"/>
      <c r="AK108" s="76">
        <v>1562555.95</v>
      </c>
      <c r="AL108" s="24">
        <f>+'Gen Rev'!AI108-'Gen Exp'!AE108+'Gen Exp'!AI108-AK108</f>
        <v>0</v>
      </c>
      <c r="AM108" s="41" t="str">
        <f>'Gen Rev'!A108</f>
        <v>Caldwell</v>
      </c>
      <c r="AN108" s="21" t="str">
        <f t="shared" si="8"/>
        <v>Caldwell</v>
      </c>
      <c r="AO108" s="21" t="b">
        <f t="shared" si="9"/>
        <v>1</v>
      </c>
    </row>
    <row r="109" spans="1:41" ht="12" customHeight="1" x14ac:dyDescent="0.2">
      <c r="A109" s="1" t="s">
        <v>147</v>
      </c>
      <c r="C109" s="1" t="s">
        <v>780</v>
      </c>
      <c r="E109" s="76">
        <v>21341.68</v>
      </c>
      <c r="F109" s="76"/>
      <c r="G109" s="76">
        <v>1622.5</v>
      </c>
      <c r="H109" s="76"/>
      <c r="I109" s="76">
        <v>34746.67</v>
      </c>
      <c r="J109" s="76"/>
      <c r="K109" s="76">
        <v>4632.43</v>
      </c>
      <c r="L109" s="76"/>
      <c r="M109" s="76">
        <v>26.8</v>
      </c>
      <c r="N109" s="76"/>
      <c r="O109" s="76">
        <v>2211.3200000000002</v>
      </c>
      <c r="P109" s="76"/>
      <c r="Q109" s="76">
        <v>47891.42</v>
      </c>
      <c r="R109" s="76"/>
      <c r="S109" s="76">
        <v>0</v>
      </c>
      <c r="T109" s="76"/>
      <c r="U109" s="76">
        <v>834.67</v>
      </c>
      <c r="V109" s="76"/>
      <c r="W109" s="76">
        <v>0</v>
      </c>
      <c r="X109" s="76"/>
      <c r="Y109" s="76">
        <v>278.37</v>
      </c>
      <c r="Z109" s="76"/>
      <c r="AA109" s="76">
        <v>0</v>
      </c>
      <c r="AB109" s="76"/>
      <c r="AC109" s="76">
        <v>0</v>
      </c>
      <c r="AD109" s="76"/>
      <c r="AE109" s="76">
        <f t="shared" ref="AE109:AE140" si="10">SUM(E109:AC109)</f>
        <v>113585.86</v>
      </c>
      <c r="AF109" s="76"/>
      <c r="AG109" s="76">
        <v>-18800.689999999999</v>
      </c>
      <c r="AH109" s="76"/>
      <c r="AI109" s="76">
        <v>166670.26</v>
      </c>
      <c r="AJ109" s="76"/>
      <c r="AK109" s="76">
        <v>147869.57</v>
      </c>
      <c r="AL109" s="24">
        <f>+'Gen Rev'!AI109-'Gen Exp'!AE109+'Gen Exp'!AI109-AK109</f>
        <v>0</v>
      </c>
      <c r="AM109" s="41" t="str">
        <f>'Gen Rev'!A109</f>
        <v>Caledonia</v>
      </c>
      <c r="AN109" s="21" t="str">
        <f t="shared" ref="AN109:AN140" si="11">A109</f>
        <v>Caledonia</v>
      </c>
      <c r="AO109" s="21" t="b">
        <f t="shared" ref="AO109:AO140" si="12">AM109=AN109</f>
        <v>1</v>
      </c>
    </row>
    <row r="110" spans="1:41" ht="12" customHeight="1" x14ac:dyDescent="0.2">
      <c r="A110" s="1" t="s">
        <v>198</v>
      </c>
      <c r="C110" s="1" t="s">
        <v>796</v>
      </c>
      <c r="D110" s="23"/>
      <c r="E110" s="76">
        <v>190499.68</v>
      </c>
      <c r="F110" s="76"/>
      <c r="G110" s="76">
        <v>0</v>
      </c>
      <c r="H110" s="76"/>
      <c r="I110" s="76">
        <v>0</v>
      </c>
      <c r="J110" s="76"/>
      <c r="K110" s="76">
        <v>0</v>
      </c>
      <c r="L110" s="76"/>
      <c r="M110" s="76">
        <v>18424.28</v>
      </c>
      <c r="N110" s="76"/>
      <c r="O110" s="76">
        <v>0</v>
      </c>
      <c r="P110" s="76"/>
      <c r="Q110" s="76">
        <v>125205.63</v>
      </c>
      <c r="R110" s="76"/>
      <c r="S110" s="76">
        <v>0</v>
      </c>
      <c r="T110" s="76"/>
      <c r="U110" s="76">
        <v>0</v>
      </c>
      <c r="V110" s="76"/>
      <c r="W110" s="76">
        <v>0</v>
      </c>
      <c r="X110" s="76"/>
      <c r="Y110" s="76">
        <v>0</v>
      </c>
      <c r="Z110" s="76"/>
      <c r="AA110" s="76">
        <v>0</v>
      </c>
      <c r="AB110" s="76"/>
      <c r="AC110" s="76">
        <v>0</v>
      </c>
      <c r="AD110" s="76"/>
      <c r="AE110" s="76">
        <f t="shared" si="10"/>
        <v>334129.58999999997</v>
      </c>
      <c r="AF110" s="76"/>
      <c r="AG110" s="76">
        <v>22110.69</v>
      </c>
      <c r="AH110" s="76"/>
      <c r="AI110" s="76">
        <v>122331.08</v>
      </c>
      <c r="AJ110" s="76"/>
      <c r="AK110" s="76">
        <v>144441.76999999999</v>
      </c>
      <c r="AL110" s="24">
        <f>+'Gen Rev'!AI110-'Gen Exp'!AE110+'Gen Exp'!AI110-AK110</f>
        <v>0</v>
      </c>
      <c r="AM110" s="41" t="str">
        <f>'Gen Rev'!A110</f>
        <v>Camden</v>
      </c>
      <c r="AN110" s="21" t="str">
        <f t="shared" si="11"/>
        <v>Camden</v>
      </c>
      <c r="AO110" s="21" t="b">
        <f t="shared" si="12"/>
        <v>1</v>
      </c>
    </row>
    <row r="111" spans="1:41" s="21" customFormat="1" ht="12" hidden="1" customHeight="1" x14ac:dyDescent="0.2">
      <c r="A111" s="1" t="s">
        <v>352</v>
      </c>
      <c r="B111" s="1"/>
      <c r="C111" s="1" t="s">
        <v>353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>
        <f t="shared" si="10"/>
        <v>0</v>
      </c>
      <c r="AF111" s="76"/>
      <c r="AG111" s="76"/>
      <c r="AH111" s="76"/>
      <c r="AI111" s="76"/>
      <c r="AJ111" s="76"/>
      <c r="AK111" s="76"/>
      <c r="AL111" s="24">
        <f>+'Gen Rev'!AI111-'Gen Exp'!AE111+'Gen Exp'!AI111-AK111</f>
        <v>0</v>
      </c>
      <c r="AM111" s="41" t="str">
        <f>'Gen Rev'!A111</f>
        <v>Canal Winchester</v>
      </c>
      <c r="AN111" s="21" t="str">
        <f t="shared" si="11"/>
        <v>Canal Winchester</v>
      </c>
      <c r="AO111" s="21" t="b">
        <f t="shared" si="12"/>
        <v>1</v>
      </c>
    </row>
    <row r="112" spans="1:41" ht="12" customHeight="1" x14ac:dyDescent="0.2">
      <c r="A112" s="1" t="s">
        <v>170</v>
      </c>
      <c r="C112" s="1" t="s">
        <v>788</v>
      </c>
      <c r="D112" s="23"/>
      <c r="E112" s="76">
        <v>290143</v>
      </c>
      <c r="F112" s="76"/>
      <c r="G112" s="76">
        <v>1417</v>
      </c>
      <c r="H112" s="76"/>
      <c r="I112" s="76">
        <v>0</v>
      </c>
      <c r="J112" s="76"/>
      <c r="K112" s="76">
        <v>1624</v>
      </c>
      <c r="L112" s="76"/>
      <c r="M112" s="76">
        <v>2023</v>
      </c>
      <c r="N112" s="76"/>
      <c r="O112" s="76">
        <v>0</v>
      </c>
      <c r="P112" s="76"/>
      <c r="Q112" s="76">
        <f>214788-1</f>
        <v>214787</v>
      </c>
      <c r="R112" s="76"/>
      <c r="S112" s="76">
        <v>0</v>
      </c>
      <c r="T112" s="76"/>
      <c r="U112" s="76">
        <v>0</v>
      </c>
      <c r="V112" s="76"/>
      <c r="W112" s="76">
        <v>0</v>
      </c>
      <c r="X112" s="76"/>
      <c r="Y112" s="76">
        <v>0</v>
      </c>
      <c r="Z112" s="76"/>
      <c r="AA112" s="76">
        <v>0</v>
      </c>
      <c r="AB112" s="76"/>
      <c r="AC112" s="76">
        <v>0</v>
      </c>
      <c r="AD112" s="76"/>
      <c r="AE112" s="76">
        <f t="shared" si="10"/>
        <v>509994</v>
      </c>
      <c r="AF112" s="76"/>
      <c r="AG112" s="76">
        <v>43231</v>
      </c>
      <c r="AH112" s="76"/>
      <c r="AI112" s="76">
        <v>154476</v>
      </c>
      <c r="AJ112" s="76"/>
      <c r="AK112" s="76">
        <v>197707</v>
      </c>
      <c r="AL112" s="24">
        <f>+'Gen Rev'!AI112-'Gen Exp'!AE112+'Gen Exp'!AI112-AK112</f>
        <v>0</v>
      </c>
      <c r="AM112" s="41" t="str">
        <f>'Gen Rev'!A112</f>
        <v>Cardington</v>
      </c>
      <c r="AN112" s="21" t="str">
        <f t="shared" si="11"/>
        <v>Cardington</v>
      </c>
      <c r="AO112" s="21" t="b">
        <f t="shared" si="12"/>
        <v>1</v>
      </c>
    </row>
    <row r="113" spans="1:41" ht="12" customHeight="1" x14ac:dyDescent="0.2">
      <c r="A113" s="1" t="s">
        <v>608</v>
      </c>
      <c r="C113" s="1" t="s">
        <v>609</v>
      </c>
      <c r="E113" s="76">
        <v>896682</v>
      </c>
      <c r="F113" s="76"/>
      <c r="G113" s="76">
        <v>8278</v>
      </c>
      <c r="H113" s="76"/>
      <c r="I113" s="76">
        <v>0</v>
      </c>
      <c r="J113" s="76"/>
      <c r="K113" s="76">
        <v>5784</v>
      </c>
      <c r="L113" s="76"/>
      <c r="M113" s="76">
        <v>1831</v>
      </c>
      <c r="N113" s="76"/>
      <c r="O113" s="76">
        <v>0</v>
      </c>
      <c r="P113" s="76"/>
      <c r="Q113" s="76">
        <v>244380</v>
      </c>
      <c r="R113" s="76"/>
      <c r="S113" s="76">
        <v>0</v>
      </c>
      <c r="T113" s="76"/>
      <c r="U113" s="76">
        <v>50000</v>
      </c>
      <c r="V113" s="76"/>
      <c r="W113" s="76">
        <v>12856</v>
      </c>
      <c r="X113" s="76"/>
      <c r="Y113" s="76">
        <v>0</v>
      </c>
      <c r="Z113" s="76"/>
      <c r="AA113" s="76">
        <v>0</v>
      </c>
      <c r="AB113" s="76"/>
      <c r="AC113" s="76">
        <v>0</v>
      </c>
      <c r="AD113" s="76"/>
      <c r="AE113" s="76">
        <f t="shared" si="10"/>
        <v>1219811</v>
      </c>
      <c r="AF113" s="76"/>
      <c r="AG113" s="76">
        <v>108871</v>
      </c>
      <c r="AH113" s="76"/>
      <c r="AI113" s="76">
        <v>593405</v>
      </c>
      <c r="AJ113" s="76"/>
      <c r="AK113" s="76">
        <v>702276</v>
      </c>
      <c r="AL113" s="24">
        <f>+'Gen Rev'!AI113-'Gen Exp'!AE113+'Gen Exp'!AI113-AK113</f>
        <v>0</v>
      </c>
      <c r="AM113" s="41" t="str">
        <f>'Gen Rev'!A113</f>
        <v>Carey</v>
      </c>
      <c r="AN113" s="21" t="str">
        <f t="shared" si="11"/>
        <v>Carey</v>
      </c>
      <c r="AO113" s="21" t="b">
        <f t="shared" si="12"/>
        <v>1</v>
      </c>
    </row>
    <row r="114" spans="1:41" ht="12" customHeight="1" x14ac:dyDescent="0.2">
      <c r="A114" s="1" t="s">
        <v>942</v>
      </c>
      <c r="C114" s="1" t="s">
        <v>809</v>
      </c>
      <c r="E114" s="76">
        <v>329079</v>
      </c>
      <c r="F114" s="76"/>
      <c r="G114" s="76">
        <v>0</v>
      </c>
      <c r="H114" s="76"/>
      <c r="I114" s="76">
        <v>6494</v>
      </c>
      <c r="J114" s="76"/>
      <c r="K114" s="76">
        <v>99573</v>
      </c>
      <c r="L114" s="76"/>
      <c r="M114" s="76">
        <v>0</v>
      </c>
      <c r="N114" s="76"/>
      <c r="O114" s="76">
        <v>0</v>
      </c>
      <c r="P114" s="76"/>
      <c r="Q114" s="76">
        <v>395144</v>
      </c>
      <c r="R114" s="76"/>
      <c r="S114" s="76">
        <v>0</v>
      </c>
      <c r="T114" s="76"/>
      <c r="U114" s="76">
        <v>0</v>
      </c>
      <c r="V114" s="76"/>
      <c r="W114" s="76">
        <v>0</v>
      </c>
      <c r="X114" s="76"/>
      <c r="Y114" s="76">
        <v>125500</v>
      </c>
      <c r="Z114" s="76"/>
      <c r="AA114" s="76">
        <v>0</v>
      </c>
      <c r="AB114" s="76"/>
      <c r="AC114" s="76">
        <v>0</v>
      </c>
      <c r="AD114" s="76"/>
      <c r="AE114" s="76">
        <f t="shared" si="10"/>
        <v>955790</v>
      </c>
      <c r="AF114" s="76"/>
      <c r="AG114" s="76">
        <v>-25027</v>
      </c>
      <c r="AH114" s="76"/>
      <c r="AI114" s="76">
        <v>562273</v>
      </c>
      <c r="AJ114" s="76"/>
      <c r="AK114" s="76">
        <v>537246</v>
      </c>
      <c r="AL114" s="24">
        <f>+'Gen Rev'!AI114-'Gen Exp'!AE114+'Gen Exp'!AI114-AK114</f>
        <v>0</v>
      </c>
      <c r="AM114" s="41" t="str">
        <f>'Gen Rev'!A114</f>
        <v>Carlisle</v>
      </c>
      <c r="AN114" s="21" t="str">
        <f t="shared" si="11"/>
        <v>Carlisle</v>
      </c>
      <c r="AO114" s="21" t="b">
        <f t="shared" si="12"/>
        <v>1</v>
      </c>
    </row>
    <row r="115" spans="1:41" ht="12" customHeight="1" x14ac:dyDescent="0.2">
      <c r="A115" s="1" t="s">
        <v>62</v>
      </c>
      <c r="C115" s="1" t="s">
        <v>756</v>
      </c>
      <c r="D115" s="10"/>
      <c r="E115" s="76">
        <v>83262.66</v>
      </c>
      <c r="F115" s="76"/>
      <c r="G115" s="76">
        <v>1917</v>
      </c>
      <c r="H115" s="76"/>
      <c r="I115" s="76">
        <v>25964.02</v>
      </c>
      <c r="J115" s="76"/>
      <c r="K115" s="76">
        <v>8467.66</v>
      </c>
      <c r="L115" s="76"/>
      <c r="M115" s="76">
        <v>0</v>
      </c>
      <c r="N115" s="76"/>
      <c r="O115" s="76">
        <v>130</v>
      </c>
      <c r="P115" s="76"/>
      <c r="Q115" s="76">
        <v>65989.97</v>
      </c>
      <c r="R115" s="76"/>
      <c r="S115" s="76">
        <v>0</v>
      </c>
      <c r="T115" s="76"/>
      <c r="U115" s="76">
        <v>0</v>
      </c>
      <c r="V115" s="76"/>
      <c r="W115" s="76">
        <v>0</v>
      </c>
      <c r="X115" s="76"/>
      <c r="Y115" s="76">
        <v>500</v>
      </c>
      <c r="Z115" s="76"/>
      <c r="AA115" s="76">
        <v>0</v>
      </c>
      <c r="AB115" s="76"/>
      <c r="AC115" s="76">
        <v>0</v>
      </c>
      <c r="AD115" s="76"/>
      <c r="AE115" s="76">
        <f t="shared" si="10"/>
        <v>186231.31</v>
      </c>
      <c r="AF115" s="76"/>
      <c r="AG115" s="76">
        <v>92660.09</v>
      </c>
      <c r="AH115" s="76"/>
      <c r="AI115" s="76">
        <v>176592.74</v>
      </c>
      <c r="AJ115" s="76"/>
      <c r="AK115" s="76">
        <v>269252.83</v>
      </c>
      <c r="AL115" s="24">
        <f>+'Gen Rev'!AI115-'Gen Exp'!AE115+'Gen Exp'!AI115-AK115</f>
        <v>0</v>
      </c>
      <c r="AM115" s="41" t="str">
        <f>'Gen Rev'!A115</f>
        <v>Carroll</v>
      </c>
      <c r="AN115" s="21" t="str">
        <f t="shared" si="11"/>
        <v>Carroll</v>
      </c>
      <c r="AO115" s="21" t="b">
        <f t="shared" si="12"/>
        <v>1</v>
      </c>
    </row>
    <row r="116" spans="1:41" s="21" customFormat="1" ht="12" customHeight="1" x14ac:dyDescent="0.2">
      <c r="A116" s="1" t="s">
        <v>285</v>
      </c>
      <c r="B116" s="1"/>
      <c r="C116" s="1" t="s">
        <v>62</v>
      </c>
      <c r="D116" s="1"/>
      <c r="E116" s="76">
        <v>494372</v>
      </c>
      <c r="F116" s="76"/>
      <c r="G116" s="76">
        <v>21400</v>
      </c>
      <c r="H116" s="76"/>
      <c r="I116" s="76">
        <v>22579</v>
      </c>
      <c r="J116" s="76"/>
      <c r="K116" s="76">
        <v>5220</v>
      </c>
      <c r="L116" s="76"/>
      <c r="M116" s="76">
        <v>0</v>
      </c>
      <c r="N116" s="76"/>
      <c r="O116" s="76">
        <v>276906</v>
      </c>
      <c r="P116" s="76"/>
      <c r="Q116" s="76">
        <v>301499</v>
      </c>
      <c r="R116" s="76"/>
      <c r="S116" s="76">
        <v>27812</v>
      </c>
      <c r="T116" s="76"/>
      <c r="U116" s="76">
        <v>0</v>
      </c>
      <c r="V116" s="76"/>
      <c r="W116" s="76">
        <v>0</v>
      </c>
      <c r="X116" s="76"/>
      <c r="Y116" s="76">
        <v>65500</v>
      </c>
      <c r="Z116" s="76"/>
      <c r="AA116" s="76">
        <v>0</v>
      </c>
      <c r="AB116" s="76"/>
      <c r="AC116" s="76">
        <v>0</v>
      </c>
      <c r="AD116" s="76"/>
      <c r="AE116" s="76">
        <f t="shared" si="10"/>
        <v>1215288</v>
      </c>
      <c r="AF116" s="76"/>
      <c r="AG116" s="76">
        <v>1024601</v>
      </c>
      <c r="AH116" s="76"/>
      <c r="AI116" s="76">
        <v>118643</v>
      </c>
      <c r="AJ116" s="76"/>
      <c r="AK116" s="76">
        <v>1143244</v>
      </c>
      <c r="AL116" s="24">
        <f>+'Gen Rev'!AI116-'Gen Exp'!AE116+'Gen Exp'!AI116-AK116</f>
        <v>0</v>
      </c>
      <c r="AM116" s="41" t="str">
        <f>'Gen Rev'!A116</f>
        <v>Carrollton</v>
      </c>
      <c r="AN116" s="21" t="str">
        <f t="shared" si="11"/>
        <v>Carrollton</v>
      </c>
      <c r="AO116" s="21" t="b">
        <f t="shared" si="12"/>
        <v>1</v>
      </c>
    </row>
    <row r="117" spans="1:41" s="21" customFormat="1" ht="12" customHeight="1" x14ac:dyDescent="0.2">
      <c r="A117" s="1" t="s">
        <v>917</v>
      </c>
      <c r="B117" s="1"/>
      <c r="C117" s="1" t="s">
        <v>470</v>
      </c>
      <c r="D117" s="1"/>
      <c r="E117" s="76">
        <v>12375.58</v>
      </c>
      <c r="F117" s="76"/>
      <c r="G117" s="76">
        <v>0</v>
      </c>
      <c r="H117" s="76"/>
      <c r="I117" s="76">
        <v>215.66</v>
      </c>
      <c r="J117" s="76"/>
      <c r="K117" s="76">
        <v>0</v>
      </c>
      <c r="L117" s="76"/>
      <c r="M117" s="76">
        <v>0</v>
      </c>
      <c r="N117" s="76"/>
      <c r="O117" s="76">
        <v>3280.62</v>
      </c>
      <c r="P117" s="76"/>
      <c r="Q117" s="76">
        <v>31327.22</v>
      </c>
      <c r="R117" s="76"/>
      <c r="S117" s="76">
        <v>0</v>
      </c>
      <c r="T117" s="76"/>
      <c r="U117" s="76">
        <v>0</v>
      </c>
      <c r="V117" s="76"/>
      <c r="W117" s="76">
        <v>0</v>
      </c>
      <c r="X117" s="76"/>
      <c r="Y117" s="76">
        <v>0</v>
      </c>
      <c r="Z117" s="76"/>
      <c r="AA117" s="76">
        <v>0</v>
      </c>
      <c r="AB117" s="76"/>
      <c r="AC117" s="76">
        <v>0</v>
      </c>
      <c r="AD117" s="76"/>
      <c r="AE117" s="76">
        <f t="shared" si="10"/>
        <v>47199.08</v>
      </c>
      <c r="AF117" s="76"/>
      <c r="AG117" s="76">
        <v>-11496.67</v>
      </c>
      <c r="AH117" s="76"/>
      <c r="AI117" s="76">
        <v>210503.67999999999</v>
      </c>
      <c r="AJ117" s="76"/>
      <c r="AK117" s="76">
        <v>199007.01</v>
      </c>
      <c r="AL117" s="24">
        <f>+'Gen Rev'!AI117-'Gen Exp'!AE117+'Gen Exp'!AI117-AK117</f>
        <v>0</v>
      </c>
      <c r="AM117" s="41" t="str">
        <f>'Gen Rev'!A117</f>
        <v>Casstown</v>
      </c>
      <c r="AN117" s="21" t="str">
        <f t="shared" si="11"/>
        <v>Casstown</v>
      </c>
      <c r="AO117" s="21" t="b">
        <f t="shared" si="12"/>
        <v>1</v>
      </c>
    </row>
    <row r="118" spans="1:41" s="21" customFormat="1" ht="12" customHeight="1" x14ac:dyDescent="0.2">
      <c r="A118" s="1" t="s">
        <v>60</v>
      </c>
      <c r="B118" s="1"/>
      <c r="C118" s="1" t="s">
        <v>755</v>
      </c>
      <c r="D118" s="23"/>
      <c r="E118" s="76">
        <v>161480.29999999999</v>
      </c>
      <c r="F118" s="76"/>
      <c r="G118" s="76">
        <v>1170</v>
      </c>
      <c r="H118" s="76"/>
      <c r="I118" s="76">
        <v>5357.44</v>
      </c>
      <c r="J118" s="76"/>
      <c r="K118" s="76">
        <v>1348.04</v>
      </c>
      <c r="L118" s="76"/>
      <c r="M118" s="76">
        <v>4500</v>
      </c>
      <c r="N118" s="76"/>
      <c r="O118" s="76">
        <v>811.84</v>
      </c>
      <c r="P118" s="76"/>
      <c r="Q118" s="76">
        <v>61339.02</v>
      </c>
      <c r="R118" s="76"/>
      <c r="S118" s="76">
        <v>0</v>
      </c>
      <c r="T118" s="76"/>
      <c r="U118" s="76">
        <v>0</v>
      </c>
      <c r="V118" s="76"/>
      <c r="W118" s="76">
        <v>0</v>
      </c>
      <c r="X118" s="76"/>
      <c r="Y118" s="76">
        <v>0</v>
      </c>
      <c r="Z118" s="76"/>
      <c r="AA118" s="76">
        <v>0</v>
      </c>
      <c r="AB118" s="76"/>
      <c r="AC118" s="76">
        <v>0</v>
      </c>
      <c r="AD118" s="76"/>
      <c r="AE118" s="76">
        <f t="shared" si="10"/>
        <v>236006.63999999998</v>
      </c>
      <c r="AF118" s="76"/>
      <c r="AG118" s="76">
        <v>-50745.93</v>
      </c>
      <c r="AH118" s="76"/>
      <c r="AI118" s="76">
        <v>308335.77</v>
      </c>
      <c r="AJ118" s="76"/>
      <c r="AK118" s="76">
        <v>257589.84</v>
      </c>
      <c r="AL118" s="24">
        <f>+'Gen Rev'!AI118-'Gen Exp'!AE118+'Gen Exp'!AI118-AK118</f>
        <v>0</v>
      </c>
      <c r="AM118" s="41" t="str">
        <f>'Gen Rev'!A118</f>
        <v>Castalia</v>
      </c>
      <c r="AN118" s="21" t="str">
        <f t="shared" si="11"/>
        <v>Castalia</v>
      </c>
      <c r="AO118" s="21" t="b">
        <f t="shared" si="12"/>
        <v>1</v>
      </c>
    </row>
    <row r="119" spans="1:41" s="21" customFormat="1" ht="12" hidden="1" customHeight="1" x14ac:dyDescent="0.2">
      <c r="A119" s="1" t="s">
        <v>51</v>
      </c>
      <c r="B119" s="1"/>
      <c r="C119" s="1" t="s">
        <v>329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>
        <f t="shared" si="10"/>
        <v>0</v>
      </c>
      <c r="AF119" s="76"/>
      <c r="AG119" s="76"/>
      <c r="AH119" s="76"/>
      <c r="AI119" s="76"/>
      <c r="AJ119" s="76"/>
      <c r="AK119" s="76"/>
      <c r="AL119" s="24">
        <f>+'Gen Rev'!AI119-'Gen Exp'!AE119+'Gen Exp'!AI119-AK119</f>
        <v>0</v>
      </c>
      <c r="AM119" s="41" t="str">
        <f>'Gen Rev'!A119</f>
        <v>Castine</v>
      </c>
      <c r="AN119" s="21" t="str">
        <f t="shared" si="11"/>
        <v>Castine</v>
      </c>
      <c r="AO119" s="21" t="b">
        <f t="shared" si="12"/>
        <v>1</v>
      </c>
    </row>
    <row r="120" spans="1:41" ht="12" customHeight="1" x14ac:dyDescent="0.2">
      <c r="A120" s="1" t="s">
        <v>34</v>
      </c>
      <c r="C120" s="1" t="s">
        <v>746</v>
      </c>
      <c r="D120" s="23"/>
      <c r="E120" s="76">
        <v>23474.42</v>
      </c>
      <c r="F120" s="76"/>
      <c r="G120" s="76">
        <v>0</v>
      </c>
      <c r="H120" s="76"/>
      <c r="I120" s="76">
        <v>150</v>
      </c>
      <c r="J120" s="76"/>
      <c r="K120" s="76">
        <v>0</v>
      </c>
      <c r="L120" s="76"/>
      <c r="M120" s="76">
        <v>0</v>
      </c>
      <c r="N120" s="76"/>
      <c r="O120" s="76">
        <v>0</v>
      </c>
      <c r="P120" s="76"/>
      <c r="Q120" s="76">
        <v>32002.97</v>
      </c>
      <c r="R120" s="76"/>
      <c r="S120" s="76">
        <v>0</v>
      </c>
      <c r="T120" s="76"/>
      <c r="U120" s="76">
        <v>0</v>
      </c>
      <c r="V120" s="76"/>
      <c r="W120" s="76">
        <v>0</v>
      </c>
      <c r="X120" s="76"/>
      <c r="Y120" s="76">
        <v>0</v>
      </c>
      <c r="Z120" s="76"/>
      <c r="AA120" s="76">
        <v>0</v>
      </c>
      <c r="AB120" s="76"/>
      <c r="AC120" s="76">
        <v>2024.72</v>
      </c>
      <c r="AD120" s="76"/>
      <c r="AE120" s="76">
        <f t="shared" si="10"/>
        <v>57652.11</v>
      </c>
      <c r="AF120" s="76"/>
      <c r="AG120" s="76">
        <v>10257.42</v>
      </c>
      <c r="AH120" s="76"/>
      <c r="AI120" s="76">
        <v>49624.43</v>
      </c>
      <c r="AJ120" s="76"/>
      <c r="AK120" s="76">
        <v>59881.85</v>
      </c>
      <c r="AL120" s="24">
        <f>+'Gen Rev'!AI120-'Gen Exp'!AE120+'Gen Exp'!AI120-AK120</f>
        <v>0</v>
      </c>
      <c r="AM120" s="41" t="str">
        <f>'Gen Rev'!A120</f>
        <v>Catawba</v>
      </c>
      <c r="AN120" s="21" t="str">
        <f t="shared" si="11"/>
        <v>Catawba</v>
      </c>
      <c r="AO120" s="21" t="b">
        <f t="shared" si="12"/>
        <v>1</v>
      </c>
    </row>
    <row r="121" spans="1:41" ht="12" customHeight="1" x14ac:dyDescent="0.2">
      <c r="A121" s="1" t="s">
        <v>182</v>
      </c>
      <c r="C121" s="1" t="s">
        <v>792</v>
      </c>
      <c r="D121" s="23"/>
      <c r="E121" s="76">
        <v>2546.17</v>
      </c>
      <c r="F121" s="76"/>
      <c r="G121" s="76">
        <v>200</v>
      </c>
      <c r="H121" s="76"/>
      <c r="I121" s="76">
        <v>0</v>
      </c>
      <c r="J121" s="76"/>
      <c r="K121" s="76">
        <v>745</v>
      </c>
      <c r="L121" s="76"/>
      <c r="M121" s="76">
        <v>0</v>
      </c>
      <c r="N121" s="76"/>
      <c r="O121" s="76">
        <v>0</v>
      </c>
      <c r="P121" s="76"/>
      <c r="Q121" s="76">
        <v>30539.41</v>
      </c>
      <c r="R121" s="76"/>
      <c r="S121" s="76">
        <v>0</v>
      </c>
      <c r="T121" s="76"/>
      <c r="U121" s="76">
        <v>0</v>
      </c>
      <c r="V121" s="76"/>
      <c r="W121" s="76">
        <v>0</v>
      </c>
      <c r="X121" s="76"/>
      <c r="Y121" s="76">
        <v>0</v>
      </c>
      <c r="Z121" s="76"/>
      <c r="AA121" s="76">
        <v>0</v>
      </c>
      <c r="AB121" s="76"/>
      <c r="AC121" s="76">
        <v>0</v>
      </c>
      <c r="AD121" s="76"/>
      <c r="AE121" s="76">
        <f t="shared" si="10"/>
        <v>34030.58</v>
      </c>
      <c r="AF121" s="76"/>
      <c r="AG121" s="76">
        <v>12023.02</v>
      </c>
      <c r="AH121" s="76"/>
      <c r="AI121" s="76">
        <v>30536.33</v>
      </c>
      <c r="AJ121" s="76"/>
      <c r="AK121" s="76">
        <v>42559.35</v>
      </c>
      <c r="AL121" s="24">
        <f>+'Gen Rev'!AI121-'Gen Exp'!AE121+'Gen Exp'!AI121-AK121</f>
        <v>0</v>
      </c>
      <c r="AM121" s="41" t="str">
        <f>'Gen Rev'!A121</f>
        <v>Cecil</v>
      </c>
      <c r="AN121" s="21" t="str">
        <f t="shared" si="11"/>
        <v>Cecil</v>
      </c>
      <c r="AO121" s="21" t="b">
        <f t="shared" si="12"/>
        <v>1</v>
      </c>
    </row>
    <row r="122" spans="1:41" s="21" customFormat="1" ht="12" customHeight="1" x14ac:dyDescent="0.2">
      <c r="A122" s="1" t="s">
        <v>370</v>
      </c>
      <c r="B122" s="1"/>
      <c r="C122" s="1" t="s">
        <v>371</v>
      </c>
      <c r="D122" s="1"/>
      <c r="E122" s="76">
        <v>29655</v>
      </c>
      <c r="F122" s="76"/>
      <c r="G122" s="76">
        <v>2366</v>
      </c>
      <c r="H122" s="76"/>
      <c r="I122" s="76">
        <v>15000</v>
      </c>
      <c r="J122" s="76"/>
      <c r="K122" s="76">
        <v>7238</v>
      </c>
      <c r="L122" s="76"/>
      <c r="M122" s="76">
        <v>0</v>
      </c>
      <c r="N122" s="76"/>
      <c r="O122" s="76">
        <v>25000</v>
      </c>
      <c r="P122" s="76"/>
      <c r="Q122" s="76">
        <f>333727+1</f>
        <v>333728</v>
      </c>
      <c r="R122" s="76"/>
      <c r="S122" s="76">
        <v>20500</v>
      </c>
      <c r="T122" s="76"/>
      <c r="U122" s="76">
        <v>0</v>
      </c>
      <c r="V122" s="76"/>
      <c r="W122" s="76">
        <v>0</v>
      </c>
      <c r="X122" s="76"/>
      <c r="Y122" s="76">
        <v>361400</v>
      </c>
      <c r="Z122" s="76"/>
      <c r="AA122" s="76">
        <v>0</v>
      </c>
      <c r="AB122" s="76"/>
      <c r="AC122" s="76">
        <v>0</v>
      </c>
      <c r="AD122" s="76"/>
      <c r="AE122" s="76">
        <f t="shared" si="10"/>
        <v>794887</v>
      </c>
      <c r="AF122" s="76"/>
      <c r="AG122" s="76">
        <v>-6064</v>
      </c>
      <c r="AH122" s="76"/>
      <c r="AI122" s="76">
        <v>284437</v>
      </c>
      <c r="AJ122" s="76"/>
      <c r="AK122" s="76">
        <v>278373</v>
      </c>
      <c r="AL122" s="24">
        <f>+'Gen Rev'!AI122-'Gen Exp'!AE122+'Gen Exp'!AI122-AK122</f>
        <v>0</v>
      </c>
      <c r="AM122" s="41" t="str">
        <f>'Gen Rev'!A122</f>
        <v>Cedarville</v>
      </c>
      <c r="AN122" s="21" t="str">
        <f t="shared" si="11"/>
        <v>Cedarville</v>
      </c>
      <c r="AO122" s="21" t="b">
        <f t="shared" si="12"/>
        <v>1</v>
      </c>
    </row>
    <row r="123" spans="1:41" ht="12" customHeight="1" x14ac:dyDescent="0.2">
      <c r="A123" s="1" t="s">
        <v>121</v>
      </c>
      <c r="C123" s="1" t="s">
        <v>771</v>
      </c>
      <c r="D123" s="23"/>
      <c r="E123" s="76">
        <v>140945.9</v>
      </c>
      <c r="F123" s="76"/>
      <c r="G123" s="76">
        <v>1977.53</v>
      </c>
      <c r="H123" s="76"/>
      <c r="I123" s="76">
        <v>0</v>
      </c>
      <c r="J123" s="76"/>
      <c r="K123" s="76">
        <v>19552.91</v>
      </c>
      <c r="L123" s="76"/>
      <c r="M123" s="76">
        <v>0</v>
      </c>
      <c r="N123" s="76"/>
      <c r="O123" s="76">
        <v>59818.44</v>
      </c>
      <c r="P123" s="76"/>
      <c r="Q123" s="76">
        <v>218547.26</v>
      </c>
      <c r="R123" s="76"/>
      <c r="S123" s="76">
        <v>0</v>
      </c>
      <c r="T123" s="76"/>
      <c r="U123" s="76">
        <v>12018.54</v>
      </c>
      <c r="V123" s="76"/>
      <c r="W123" s="76">
        <v>1364.65</v>
      </c>
      <c r="X123" s="76"/>
      <c r="Y123" s="76">
        <v>696.62</v>
      </c>
      <c r="Z123" s="76"/>
      <c r="AA123" s="76">
        <v>12000</v>
      </c>
      <c r="AB123" s="76"/>
      <c r="AC123" s="76">
        <v>0</v>
      </c>
      <c r="AD123" s="76"/>
      <c r="AE123" s="76">
        <f t="shared" si="10"/>
        <v>466921.85000000003</v>
      </c>
      <c r="AF123" s="76"/>
      <c r="AG123" s="76">
        <v>11570.87</v>
      </c>
      <c r="AH123" s="76"/>
      <c r="AI123" s="76">
        <v>377612.86</v>
      </c>
      <c r="AJ123" s="76"/>
      <c r="AK123" s="76">
        <v>389183.73</v>
      </c>
      <c r="AL123" s="24">
        <f>+'Gen Rev'!AI123-'Gen Exp'!AE123+'Gen Exp'!AI123-AK123</f>
        <v>0</v>
      </c>
      <c r="AM123" s="41" t="str">
        <f>'Gen Rev'!A123</f>
        <v>Centerburg</v>
      </c>
      <c r="AN123" s="21" t="str">
        <f t="shared" si="11"/>
        <v>Centerburg</v>
      </c>
      <c r="AO123" s="21" t="b">
        <f t="shared" si="12"/>
        <v>1</v>
      </c>
    </row>
    <row r="124" spans="1:41" ht="12" customHeight="1" x14ac:dyDescent="0.2">
      <c r="A124" s="1" t="s">
        <v>826</v>
      </c>
      <c r="C124" s="1" t="s">
        <v>760</v>
      </c>
      <c r="D124" s="15"/>
      <c r="E124" s="76">
        <v>11226.07</v>
      </c>
      <c r="F124" s="76"/>
      <c r="G124" s="76">
        <v>0</v>
      </c>
      <c r="H124" s="76"/>
      <c r="I124" s="76">
        <v>0</v>
      </c>
      <c r="J124" s="76"/>
      <c r="K124" s="76">
        <v>0</v>
      </c>
      <c r="L124" s="76"/>
      <c r="M124" s="76">
        <v>0</v>
      </c>
      <c r="N124" s="76"/>
      <c r="O124" s="76">
        <v>0</v>
      </c>
      <c r="P124" s="76"/>
      <c r="Q124" s="76">
        <v>44316.38</v>
      </c>
      <c r="R124" s="76"/>
      <c r="S124" s="76">
        <v>0</v>
      </c>
      <c r="T124" s="76"/>
      <c r="U124" s="76">
        <v>3761.8</v>
      </c>
      <c r="V124" s="76"/>
      <c r="W124" s="76">
        <v>1652.24</v>
      </c>
      <c r="X124" s="76"/>
      <c r="Y124" s="76">
        <v>2074</v>
      </c>
      <c r="Z124" s="76"/>
      <c r="AA124" s="76">
        <v>0</v>
      </c>
      <c r="AB124" s="76"/>
      <c r="AC124" s="76">
        <v>0</v>
      </c>
      <c r="AD124" s="76"/>
      <c r="AE124" s="76">
        <f t="shared" si="10"/>
        <v>63030.49</v>
      </c>
      <c r="AF124" s="76"/>
      <c r="AG124" s="76">
        <v>2831.04</v>
      </c>
      <c r="AH124" s="76"/>
      <c r="AI124" s="76">
        <v>9487.4</v>
      </c>
      <c r="AJ124" s="76"/>
      <c r="AK124" s="76">
        <v>12318.44</v>
      </c>
      <c r="AL124" s="24">
        <f>+'Gen Rev'!AI124-'Gen Exp'!AE124+'Gen Exp'!AI124-AK124</f>
        <v>0</v>
      </c>
      <c r="AM124" s="41" t="str">
        <f>'Gen Rev'!A124</f>
        <v>Centerville</v>
      </c>
      <c r="AN124" s="21" t="str">
        <f t="shared" si="11"/>
        <v>Centerville</v>
      </c>
      <c r="AO124" s="21" t="b">
        <f t="shared" si="12"/>
        <v>1</v>
      </c>
    </row>
    <row r="125" spans="1:41" s="21" customFormat="1" ht="12" customHeight="1" x14ac:dyDescent="0.2">
      <c r="A125" s="1" t="s">
        <v>319</v>
      </c>
      <c r="B125" s="1"/>
      <c r="C125" s="1" t="s">
        <v>316</v>
      </c>
      <c r="D125" s="1"/>
      <c r="E125" s="76">
        <v>2579918</v>
      </c>
      <c r="F125" s="76"/>
      <c r="G125" s="76">
        <v>438765</v>
      </c>
      <c r="H125" s="76"/>
      <c r="I125" s="76">
        <v>86524</v>
      </c>
      <c r="J125" s="76"/>
      <c r="K125" s="76">
        <v>227643</v>
      </c>
      <c r="L125" s="76"/>
      <c r="M125" s="76">
        <v>473850</v>
      </c>
      <c r="N125" s="76"/>
      <c r="O125" s="76">
        <v>43462</v>
      </c>
      <c r="P125" s="76"/>
      <c r="Q125" s="76">
        <v>1116464</v>
      </c>
      <c r="R125" s="76"/>
      <c r="S125" s="76">
        <v>135100</v>
      </c>
      <c r="T125" s="76"/>
      <c r="U125" s="76">
        <v>0</v>
      </c>
      <c r="V125" s="76"/>
      <c r="W125" s="76">
        <v>0</v>
      </c>
      <c r="X125" s="76"/>
      <c r="Y125" s="76">
        <v>639745</v>
      </c>
      <c r="Z125" s="76"/>
      <c r="AA125" s="76">
        <v>20000</v>
      </c>
      <c r="AB125" s="76"/>
      <c r="AC125" s="76">
        <v>5330</v>
      </c>
      <c r="AD125" s="76"/>
      <c r="AE125" s="76">
        <f t="shared" si="10"/>
        <v>5766801</v>
      </c>
      <c r="AF125" s="76"/>
      <c r="AG125" s="76">
        <v>-80018</v>
      </c>
      <c r="AH125" s="76"/>
      <c r="AI125" s="76">
        <v>1708898</v>
      </c>
      <c r="AJ125" s="76"/>
      <c r="AK125" s="76">
        <v>1628880</v>
      </c>
      <c r="AL125" s="24">
        <f>+'Gen Rev'!AI125-'Gen Exp'!AE125+'Gen Exp'!AI125-AK125</f>
        <v>0</v>
      </c>
      <c r="AM125" s="41" t="str">
        <f>'Gen Rev'!A125</f>
        <v>Chagrin Falls</v>
      </c>
      <c r="AN125" s="21" t="str">
        <f t="shared" si="11"/>
        <v>Chagrin Falls</v>
      </c>
      <c r="AO125" s="21" t="b">
        <f t="shared" si="12"/>
        <v>1</v>
      </c>
    </row>
    <row r="126" spans="1:41" s="21" customFormat="1" ht="12" customHeight="1" x14ac:dyDescent="0.2">
      <c r="A126" s="1" t="s">
        <v>311</v>
      </c>
      <c r="B126" s="1"/>
      <c r="C126" s="1" t="s">
        <v>312</v>
      </c>
      <c r="D126" s="1"/>
      <c r="E126" s="76">
        <v>0</v>
      </c>
      <c r="F126" s="76"/>
      <c r="G126" s="76">
        <v>843</v>
      </c>
      <c r="H126" s="76"/>
      <c r="I126" s="76">
        <v>0</v>
      </c>
      <c r="J126" s="76"/>
      <c r="K126" s="76">
        <v>0</v>
      </c>
      <c r="L126" s="76"/>
      <c r="M126" s="76">
        <v>0</v>
      </c>
      <c r="N126" s="76"/>
      <c r="O126" s="76">
        <v>0</v>
      </c>
      <c r="P126" s="76"/>
      <c r="Q126" s="76">
        <v>11337</v>
      </c>
      <c r="R126" s="76"/>
      <c r="S126" s="76">
        <v>0</v>
      </c>
      <c r="T126" s="76"/>
      <c r="U126" s="76">
        <v>0</v>
      </c>
      <c r="V126" s="76"/>
      <c r="W126" s="76">
        <v>0</v>
      </c>
      <c r="X126" s="76"/>
      <c r="Y126" s="76">
        <v>0</v>
      </c>
      <c r="Z126" s="76"/>
      <c r="AA126" s="76">
        <v>0</v>
      </c>
      <c r="AB126" s="76"/>
      <c r="AC126" s="76">
        <v>0</v>
      </c>
      <c r="AD126" s="76"/>
      <c r="AE126" s="76">
        <f t="shared" si="10"/>
        <v>12180</v>
      </c>
      <c r="AF126" s="76"/>
      <c r="AG126" s="76">
        <v>-2287</v>
      </c>
      <c r="AH126" s="76"/>
      <c r="AI126" s="76">
        <v>26196</v>
      </c>
      <c r="AJ126" s="76"/>
      <c r="AK126" s="76">
        <v>23909</v>
      </c>
      <c r="AL126" s="24">
        <f>+'Gen Rev'!AI126-'Gen Exp'!AE126+'Gen Exp'!AI126-AK126</f>
        <v>0</v>
      </c>
      <c r="AM126" s="41" t="str">
        <f>'Gen Rev'!A126</f>
        <v>Chatfield</v>
      </c>
      <c r="AN126" s="21" t="str">
        <f t="shared" si="11"/>
        <v>Chatfield</v>
      </c>
      <c r="AO126" s="21" t="b">
        <f t="shared" si="12"/>
        <v>1</v>
      </c>
    </row>
    <row r="127" spans="1:41" s="21" customFormat="1" ht="12" customHeight="1" x14ac:dyDescent="0.2">
      <c r="A127" s="1" t="s">
        <v>273</v>
      </c>
      <c r="B127" s="1"/>
      <c r="C127" s="1" t="s">
        <v>271</v>
      </c>
      <c r="D127" s="23"/>
      <c r="E127" s="76">
        <v>10109.64</v>
      </c>
      <c r="F127" s="76"/>
      <c r="G127" s="76">
        <v>0</v>
      </c>
      <c r="H127" s="76"/>
      <c r="I127" s="76">
        <v>0</v>
      </c>
      <c r="J127" s="76"/>
      <c r="K127" s="76">
        <v>0</v>
      </c>
      <c r="L127" s="76"/>
      <c r="M127" s="76">
        <v>0</v>
      </c>
      <c r="N127" s="76"/>
      <c r="O127" s="76">
        <v>0</v>
      </c>
      <c r="P127" s="76"/>
      <c r="Q127" s="76">
        <v>77608.100000000006</v>
      </c>
      <c r="R127" s="76"/>
      <c r="S127" s="76">
        <v>0</v>
      </c>
      <c r="T127" s="76"/>
      <c r="U127" s="76">
        <v>0</v>
      </c>
      <c r="V127" s="76"/>
      <c r="W127" s="76">
        <v>0</v>
      </c>
      <c r="X127" s="76"/>
      <c r="Y127" s="76">
        <v>0</v>
      </c>
      <c r="Z127" s="76"/>
      <c r="AA127" s="76">
        <v>0</v>
      </c>
      <c r="AB127" s="76"/>
      <c r="AC127" s="76">
        <v>0</v>
      </c>
      <c r="AD127" s="76"/>
      <c r="AE127" s="76">
        <f t="shared" si="10"/>
        <v>87717.74</v>
      </c>
      <c r="AF127" s="76"/>
      <c r="AG127" s="76">
        <v>4115.87</v>
      </c>
      <c r="AH127" s="76"/>
      <c r="AI127" s="76">
        <v>4119.6000000000004</v>
      </c>
      <c r="AJ127" s="76"/>
      <c r="AK127" s="76">
        <v>8235.4699999999993</v>
      </c>
      <c r="AL127" s="24">
        <f>+'Gen Rev'!AI127-'Gen Exp'!AE127+'Gen Exp'!AI127-AK127</f>
        <v>0</v>
      </c>
      <c r="AM127" s="41" t="str">
        <f>'Gen Rev'!A127</f>
        <v>Chauncey</v>
      </c>
      <c r="AN127" s="21" t="str">
        <f t="shared" si="11"/>
        <v>Chauncey</v>
      </c>
      <c r="AO127" s="21" t="b">
        <f t="shared" si="12"/>
        <v>1</v>
      </c>
    </row>
    <row r="128" spans="1:41" s="31" customFormat="1" ht="12" customHeight="1" x14ac:dyDescent="0.2">
      <c r="A128" s="15" t="s">
        <v>660</v>
      </c>
      <c r="B128" s="15"/>
      <c r="C128" s="15" t="s">
        <v>661</v>
      </c>
      <c r="D128" s="28"/>
      <c r="E128" s="76">
        <v>1704</v>
      </c>
      <c r="F128" s="76"/>
      <c r="G128" s="76">
        <v>0</v>
      </c>
      <c r="H128" s="76"/>
      <c r="I128" s="76">
        <v>0</v>
      </c>
      <c r="J128" s="76"/>
      <c r="K128" s="76">
        <v>0</v>
      </c>
      <c r="L128" s="76"/>
      <c r="M128" s="76">
        <v>1058</v>
      </c>
      <c r="N128" s="76"/>
      <c r="O128" s="76">
        <v>0</v>
      </c>
      <c r="P128" s="76"/>
      <c r="Q128" s="76">
        <v>11952</v>
      </c>
      <c r="R128" s="76"/>
      <c r="S128" s="76">
        <v>0</v>
      </c>
      <c r="T128" s="76"/>
      <c r="U128" s="76">
        <v>0</v>
      </c>
      <c r="V128" s="76"/>
      <c r="W128" s="76">
        <v>0</v>
      </c>
      <c r="X128" s="76"/>
      <c r="Y128" s="76">
        <v>0</v>
      </c>
      <c r="Z128" s="76"/>
      <c r="AA128" s="76">
        <v>0</v>
      </c>
      <c r="AB128" s="76"/>
      <c r="AC128" s="76">
        <v>0</v>
      </c>
      <c r="AD128" s="76"/>
      <c r="AE128" s="76">
        <f t="shared" si="10"/>
        <v>14714</v>
      </c>
      <c r="AF128" s="76"/>
      <c r="AG128" s="76">
        <v>-3414</v>
      </c>
      <c r="AH128" s="76"/>
      <c r="AI128" s="76">
        <v>5660</v>
      </c>
      <c r="AJ128" s="76"/>
      <c r="AK128" s="76">
        <v>2246</v>
      </c>
      <c r="AL128" s="24">
        <f>+'Gen Rev'!AI128-'Gen Exp'!AE128+'Gen Exp'!AI128-AK128</f>
        <v>0</v>
      </c>
      <c r="AM128" s="41" t="str">
        <f>'Gen Rev'!A128</f>
        <v>Cherry Fork</v>
      </c>
      <c r="AN128" s="21" t="str">
        <f t="shared" si="11"/>
        <v>Cherry Fork</v>
      </c>
      <c r="AO128" s="21" t="b">
        <f t="shared" si="12"/>
        <v>1</v>
      </c>
    </row>
    <row r="129" spans="1:41" ht="12" customHeight="1" x14ac:dyDescent="0.2">
      <c r="A129" s="1" t="s">
        <v>436</v>
      </c>
      <c r="C129" s="1" t="s">
        <v>437</v>
      </c>
      <c r="D129" s="23"/>
      <c r="E129" s="76">
        <v>122050.01</v>
      </c>
      <c r="F129" s="76"/>
      <c r="G129" s="76">
        <v>0</v>
      </c>
      <c r="H129" s="76"/>
      <c r="I129" s="76">
        <v>0</v>
      </c>
      <c r="J129" s="76"/>
      <c r="K129" s="76">
        <v>0</v>
      </c>
      <c r="L129" s="76"/>
      <c r="M129" s="76">
        <v>0</v>
      </c>
      <c r="N129" s="76"/>
      <c r="O129" s="76">
        <v>0</v>
      </c>
      <c r="P129" s="76"/>
      <c r="Q129" s="76">
        <v>102435.85</v>
      </c>
      <c r="R129" s="76"/>
      <c r="S129" s="76">
        <v>0</v>
      </c>
      <c r="T129" s="76"/>
      <c r="U129" s="76">
        <v>0</v>
      </c>
      <c r="V129" s="76"/>
      <c r="W129" s="76">
        <v>0</v>
      </c>
      <c r="X129" s="76"/>
      <c r="Y129" s="76">
        <v>0</v>
      </c>
      <c r="Z129" s="76"/>
      <c r="AA129" s="76">
        <v>0</v>
      </c>
      <c r="AB129" s="76"/>
      <c r="AC129" s="76">
        <v>3668.04</v>
      </c>
      <c r="AD129" s="76"/>
      <c r="AE129" s="76">
        <f t="shared" si="10"/>
        <v>228153.9</v>
      </c>
      <c r="AF129" s="76"/>
      <c r="AG129" s="76">
        <v>-14270.24</v>
      </c>
      <c r="AH129" s="76"/>
      <c r="AI129" s="76">
        <v>24155.31</v>
      </c>
      <c r="AJ129" s="76"/>
      <c r="AK129" s="76">
        <v>9885.07</v>
      </c>
      <c r="AL129" s="24">
        <f>+'Gen Rev'!AI129-'Gen Exp'!AE129+'Gen Exp'!AI129-AK129</f>
        <v>0</v>
      </c>
      <c r="AM129" s="41" t="str">
        <f>'Gen Rev'!A129</f>
        <v>Chesapeake</v>
      </c>
      <c r="AN129" s="21" t="str">
        <f t="shared" si="11"/>
        <v>Chesapeake</v>
      </c>
      <c r="AO129" s="21" t="b">
        <f t="shared" si="12"/>
        <v>1</v>
      </c>
    </row>
    <row r="130" spans="1:41" s="21" customFormat="1" ht="12" customHeight="1" x14ac:dyDescent="0.2">
      <c r="A130" s="1" t="s">
        <v>79</v>
      </c>
      <c r="B130" s="1"/>
      <c r="C130" s="1" t="s">
        <v>760</v>
      </c>
      <c r="D130" s="1"/>
      <c r="E130" s="76">
        <v>8981.5</v>
      </c>
      <c r="F130" s="76"/>
      <c r="G130" s="76">
        <v>0</v>
      </c>
      <c r="H130" s="76"/>
      <c r="I130" s="76">
        <v>0</v>
      </c>
      <c r="J130" s="76"/>
      <c r="K130" s="76">
        <v>500</v>
      </c>
      <c r="L130" s="76"/>
      <c r="M130" s="76">
        <v>0</v>
      </c>
      <c r="N130" s="76"/>
      <c r="O130" s="76">
        <v>0</v>
      </c>
      <c r="P130" s="76"/>
      <c r="Q130" s="76">
        <v>60485.17</v>
      </c>
      <c r="R130" s="76"/>
      <c r="S130" s="76">
        <v>0</v>
      </c>
      <c r="T130" s="76"/>
      <c r="U130" s="76">
        <v>0</v>
      </c>
      <c r="V130" s="76"/>
      <c r="W130" s="76">
        <v>0</v>
      </c>
      <c r="X130" s="76"/>
      <c r="Y130" s="76">
        <v>0</v>
      </c>
      <c r="Z130" s="76"/>
      <c r="AA130" s="76">
        <v>0</v>
      </c>
      <c r="AB130" s="76"/>
      <c r="AC130" s="76">
        <v>0</v>
      </c>
      <c r="AD130" s="76"/>
      <c r="AE130" s="76">
        <f t="shared" si="10"/>
        <v>69966.67</v>
      </c>
      <c r="AF130" s="76"/>
      <c r="AG130" s="76">
        <v>-12918.03</v>
      </c>
      <c r="AH130" s="76"/>
      <c r="AI130" s="76">
        <v>91211.199999999997</v>
      </c>
      <c r="AJ130" s="76"/>
      <c r="AK130" s="76">
        <v>78293.17</v>
      </c>
      <c r="AL130" s="24">
        <f>+'Gen Rev'!AI130-'Gen Exp'!AE130+'Gen Exp'!AI130-AK130</f>
        <v>0</v>
      </c>
      <c r="AM130" s="41" t="str">
        <f>'Gen Rev'!A130</f>
        <v>Cheshire</v>
      </c>
      <c r="AN130" s="21" t="str">
        <f t="shared" si="11"/>
        <v>Cheshire</v>
      </c>
      <c r="AO130" s="21" t="b">
        <f t="shared" si="12"/>
        <v>1</v>
      </c>
    </row>
    <row r="131" spans="1:41" s="15" customFormat="1" ht="12" customHeight="1" x14ac:dyDescent="0.2">
      <c r="A131" s="15" t="s">
        <v>881</v>
      </c>
      <c r="C131" s="15" t="s">
        <v>882</v>
      </c>
      <c r="D131" s="28"/>
      <c r="E131" s="76">
        <v>3090</v>
      </c>
      <c r="F131" s="76"/>
      <c r="G131" s="76">
        <v>5918</v>
      </c>
      <c r="H131" s="76"/>
      <c r="I131" s="76">
        <v>0</v>
      </c>
      <c r="J131" s="76"/>
      <c r="K131" s="76">
        <v>0</v>
      </c>
      <c r="L131" s="76"/>
      <c r="M131" s="76">
        <v>33522</v>
      </c>
      <c r="N131" s="76"/>
      <c r="O131" s="76">
        <v>0</v>
      </c>
      <c r="P131" s="76"/>
      <c r="Q131" s="76">
        <v>14918</v>
      </c>
      <c r="R131" s="76"/>
      <c r="S131" s="76">
        <v>0</v>
      </c>
      <c r="T131" s="76"/>
      <c r="U131" s="76">
        <v>650</v>
      </c>
      <c r="V131" s="76"/>
      <c r="W131" s="76">
        <v>0</v>
      </c>
      <c r="X131" s="76"/>
      <c r="Y131" s="76">
        <v>0</v>
      </c>
      <c r="Z131" s="76"/>
      <c r="AA131" s="76">
        <v>0</v>
      </c>
      <c r="AB131" s="76"/>
      <c r="AC131" s="76">
        <v>0</v>
      </c>
      <c r="AD131" s="76"/>
      <c r="AE131" s="76">
        <f t="shared" si="10"/>
        <v>58098</v>
      </c>
      <c r="AF131" s="76"/>
      <c r="AG131" s="76">
        <v>-7566</v>
      </c>
      <c r="AH131" s="76"/>
      <c r="AI131" s="76" t="s">
        <v>956</v>
      </c>
      <c r="AJ131" s="76"/>
      <c r="AK131" s="76" t="s">
        <v>956</v>
      </c>
      <c r="AL131" s="24" t="e">
        <f>+'Gen Rev'!AI131-'Gen Exp'!AE131+'Gen Exp'!AI131-AK131</f>
        <v>#VALUE!</v>
      </c>
      <c r="AM131" s="41" t="str">
        <f>'Gen Rev'!A131</f>
        <v>Chesterhill</v>
      </c>
      <c r="AN131" s="21" t="str">
        <f t="shared" si="11"/>
        <v>Chesterhill</v>
      </c>
      <c r="AO131" s="21" t="b">
        <f t="shared" si="12"/>
        <v>1</v>
      </c>
    </row>
    <row r="132" spans="1:41" ht="12" customHeight="1" x14ac:dyDescent="0.2">
      <c r="A132" s="1" t="s">
        <v>171</v>
      </c>
      <c r="C132" s="1" t="s">
        <v>788</v>
      </c>
      <c r="E132" s="76">
        <v>7651.61</v>
      </c>
      <c r="F132" s="76"/>
      <c r="G132" s="76">
        <v>496.13</v>
      </c>
      <c r="H132" s="76"/>
      <c r="I132" s="76">
        <v>334.17</v>
      </c>
      <c r="J132" s="76"/>
      <c r="K132" s="76">
        <v>4045</v>
      </c>
      <c r="L132" s="76"/>
      <c r="M132" s="76">
        <v>650</v>
      </c>
      <c r="N132" s="76"/>
      <c r="O132" s="76">
        <v>810.04</v>
      </c>
      <c r="P132" s="76"/>
      <c r="Q132" s="76">
        <v>26852.44</v>
      </c>
      <c r="R132" s="76"/>
      <c r="S132" s="76">
        <v>733.9</v>
      </c>
      <c r="T132" s="76"/>
      <c r="U132" s="76">
        <v>0</v>
      </c>
      <c r="V132" s="76"/>
      <c r="W132" s="76">
        <v>0</v>
      </c>
      <c r="X132" s="76"/>
      <c r="Y132" s="76">
        <v>4400</v>
      </c>
      <c r="Z132" s="76"/>
      <c r="AA132" s="76">
        <v>0</v>
      </c>
      <c r="AB132" s="76"/>
      <c r="AC132" s="76">
        <v>0</v>
      </c>
      <c r="AD132" s="76"/>
      <c r="AE132" s="76">
        <f t="shared" si="10"/>
        <v>45973.29</v>
      </c>
      <c r="AF132" s="76"/>
      <c r="AG132" s="76">
        <v>3638.22</v>
      </c>
      <c r="AH132" s="76"/>
      <c r="AI132" s="76">
        <v>28544.35</v>
      </c>
      <c r="AJ132" s="76"/>
      <c r="AK132" s="76">
        <v>32182.57</v>
      </c>
      <c r="AL132" s="24">
        <f>+'Gen Rev'!AI132-'Gen Exp'!AE132+'Gen Exp'!AI132-AK132</f>
        <v>0</v>
      </c>
      <c r="AM132" s="41" t="str">
        <f>'Gen Rev'!A132</f>
        <v>Chesterville</v>
      </c>
      <c r="AN132" s="21" t="str">
        <f t="shared" si="11"/>
        <v>Chesterville</v>
      </c>
      <c r="AO132" s="21" t="b">
        <f t="shared" si="12"/>
        <v>1</v>
      </c>
    </row>
    <row r="133" spans="1:41" ht="12" customHeight="1" x14ac:dyDescent="0.2">
      <c r="A133" s="1" t="s">
        <v>838</v>
      </c>
      <c r="C133" s="1" t="s">
        <v>783</v>
      </c>
      <c r="E133" s="76">
        <v>7120.82</v>
      </c>
      <c r="F133" s="76"/>
      <c r="G133" s="76">
        <v>2776.96</v>
      </c>
      <c r="H133" s="76"/>
      <c r="I133" s="76">
        <v>1500</v>
      </c>
      <c r="J133" s="76"/>
      <c r="K133" s="76">
        <v>409</v>
      </c>
      <c r="L133" s="76"/>
      <c r="M133" s="76">
        <v>3250.52</v>
      </c>
      <c r="N133" s="76"/>
      <c r="O133" s="76">
        <v>14067.71</v>
      </c>
      <c r="P133" s="76"/>
      <c r="Q133" s="76">
        <v>38922.03</v>
      </c>
      <c r="R133" s="76"/>
      <c r="S133" s="76">
        <v>0</v>
      </c>
      <c r="T133" s="76"/>
      <c r="U133" s="76">
        <v>0</v>
      </c>
      <c r="V133" s="76"/>
      <c r="W133" s="76">
        <v>0</v>
      </c>
      <c r="X133" s="76"/>
      <c r="Y133" s="76">
        <v>0</v>
      </c>
      <c r="Z133" s="76"/>
      <c r="AA133" s="76">
        <v>0</v>
      </c>
      <c r="AB133" s="76"/>
      <c r="AC133" s="76">
        <v>0</v>
      </c>
      <c r="AD133" s="76"/>
      <c r="AE133" s="76">
        <f t="shared" si="10"/>
        <v>68047.039999999994</v>
      </c>
      <c r="AF133" s="76"/>
      <c r="AG133" s="76">
        <v>29264.92</v>
      </c>
      <c r="AH133" s="76"/>
      <c r="AI133" s="76">
        <v>85041.09</v>
      </c>
      <c r="AJ133" s="76"/>
      <c r="AK133" s="76">
        <v>114306.01</v>
      </c>
      <c r="AL133" s="24">
        <f>+'Gen Rev'!AI133-'Gen Exp'!AE133+'Gen Exp'!AI133-AK133</f>
        <v>0</v>
      </c>
      <c r="AM133" s="41" t="str">
        <f>'Gen Rev'!A133</f>
        <v>Chickasaw</v>
      </c>
      <c r="AN133" s="21" t="str">
        <f t="shared" si="11"/>
        <v>Chickasaw</v>
      </c>
      <c r="AO133" s="21" t="b">
        <f t="shared" si="12"/>
        <v>1</v>
      </c>
    </row>
    <row r="134" spans="1:41" ht="12" customHeight="1" x14ac:dyDescent="0.2">
      <c r="A134" s="1" t="s">
        <v>883</v>
      </c>
      <c r="C134" s="1" t="s">
        <v>295</v>
      </c>
      <c r="D134" s="23"/>
      <c r="E134" s="76">
        <v>5366</v>
      </c>
      <c r="F134" s="76"/>
      <c r="G134" s="76">
        <v>0</v>
      </c>
      <c r="H134" s="76"/>
      <c r="I134" s="76">
        <v>1770</v>
      </c>
      <c r="J134" s="76"/>
      <c r="K134" s="76">
        <v>0</v>
      </c>
      <c r="L134" s="76"/>
      <c r="M134" s="76">
        <v>3633</v>
      </c>
      <c r="N134" s="76"/>
      <c r="O134" s="76">
        <v>0</v>
      </c>
      <c r="P134" s="76"/>
      <c r="Q134" s="76">
        <v>12163</v>
      </c>
      <c r="R134" s="76"/>
      <c r="S134" s="76">
        <v>0</v>
      </c>
      <c r="T134" s="76"/>
      <c r="U134" s="76">
        <v>0</v>
      </c>
      <c r="V134" s="76"/>
      <c r="W134" s="76">
        <v>0</v>
      </c>
      <c r="X134" s="76"/>
      <c r="Y134" s="76">
        <v>0</v>
      </c>
      <c r="Z134" s="76"/>
      <c r="AA134" s="76">
        <v>0</v>
      </c>
      <c r="AB134" s="76"/>
      <c r="AC134" s="76">
        <v>0</v>
      </c>
      <c r="AD134" s="76"/>
      <c r="AE134" s="76">
        <f t="shared" si="10"/>
        <v>22932</v>
      </c>
      <c r="AF134" s="76"/>
      <c r="AG134" s="76">
        <v>-3963</v>
      </c>
      <c r="AH134" s="76"/>
      <c r="AI134" s="76">
        <f>AK134-AG134</f>
        <v>11703</v>
      </c>
      <c r="AJ134" s="76"/>
      <c r="AK134" s="76">
        <v>7740</v>
      </c>
      <c r="AL134" s="24">
        <f>+'Gen Rev'!AI134-'Gen Exp'!AE134+'Gen Exp'!AI134-AK134</f>
        <v>0</v>
      </c>
      <c r="AM134" s="41" t="str">
        <f>'Gen Rev'!A134</f>
        <v>Chilo</v>
      </c>
      <c r="AN134" s="21" t="str">
        <f t="shared" si="11"/>
        <v>Chilo</v>
      </c>
      <c r="AO134" s="21" t="b">
        <f t="shared" si="12"/>
        <v>1</v>
      </c>
    </row>
    <row r="135" spans="1:41" ht="12" customHeight="1" x14ac:dyDescent="0.2">
      <c r="A135" s="1" t="s">
        <v>152</v>
      </c>
      <c r="C135" s="1" t="s">
        <v>781</v>
      </c>
      <c r="D135" s="23"/>
      <c r="E135" s="76">
        <v>46137.279999999999</v>
      </c>
      <c r="F135" s="76"/>
      <c r="G135" s="76">
        <v>0</v>
      </c>
      <c r="H135" s="76"/>
      <c r="I135" s="76">
        <v>29618.71</v>
      </c>
      <c r="J135" s="76"/>
      <c r="K135" s="76">
        <v>20797.080000000002</v>
      </c>
      <c r="L135" s="76"/>
      <c r="M135" s="76">
        <v>0</v>
      </c>
      <c r="N135" s="76"/>
      <c r="O135" s="76">
        <v>0</v>
      </c>
      <c r="P135" s="76"/>
      <c r="Q135" s="76">
        <v>66377.98</v>
      </c>
      <c r="R135" s="76"/>
      <c r="S135" s="76">
        <v>0</v>
      </c>
      <c r="T135" s="76"/>
      <c r="U135" s="76">
        <v>0</v>
      </c>
      <c r="V135" s="76"/>
      <c r="W135" s="76">
        <v>0</v>
      </c>
      <c r="X135" s="76"/>
      <c r="Y135" s="76">
        <v>0</v>
      </c>
      <c r="Z135" s="76"/>
      <c r="AA135" s="76">
        <v>0</v>
      </c>
      <c r="AB135" s="76"/>
      <c r="AC135" s="76">
        <v>0</v>
      </c>
      <c r="AD135" s="76"/>
      <c r="AE135" s="76">
        <f t="shared" si="10"/>
        <v>162931.04999999999</v>
      </c>
      <c r="AF135" s="76"/>
      <c r="AG135" s="76">
        <v>18729.8</v>
      </c>
      <c r="AH135" s="76"/>
      <c r="AI135" s="76">
        <v>144191.91</v>
      </c>
      <c r="AJ135" s="76"/>
      <c r="AK135" s="76">
        <v>162921.71</v>
      </c>
      <c r="AL135" s="24">
        <f>+'Gen Rev'!AI135-'Gen Exp'!AE135+'Gen Exp'!AI135-AK135</f>
        <v>0</v>
      </c>
      <c r="AM135" s="41" t="str">
        <f>'Gen Rev'!A135</f>
        <v>Chippewa Lake</v>
      </c>
      <c r="AN135" s="21" t="str">
        <f t="shared" si="11"/>
        <v>Chippewa Lake</v>
      </c>
      <c r="AO135" s="21" t="b">
        <f t="shared" si="12"/>
        <v>1</v>
      </c>
    </row>
    <row r="136" spans="1:41" s="21" customFormat="1" ht="12" customHeight="1" x14ac:dyDescent="0.2">
      <c r="A136" s="1" t="s">
        <v>32</v>
      </c>
      <c r="B136" s="1"/>
      <c r="C136" s="1" t="s">
        <v>745</v>
      </c>
      <c r="D136" s="23"/>
      <c r="E136" s="76">
        <v>3701.36</v>
      </c>
      <c r="F136" s="76"/>
      <c r="G136" s="76">
        <v>0</v>
      </c>
      <c r="H136" s="76"/>
      <c r="I136" s="76">
        <v>3107.92</v>
      </c>
      <c r="J136" s="76"/>
      <c r="K136" s="76">
        <v>0</v>
      </c>
      <c r="L136" s="76"/>
      <c r="M136" s="76">
        <v>0</v>
      </c>
      <c r="N136" s="76"/>
      <c r="O136" s="76">
        <v>27909.49</v>
      </c>
      <c r="P136" s="76"/>
      <c r="Q136" s="76">
        <v>29574.75</v>
      </c>
      <c r="R136" s="76"/>
      <c r="S136" s="76">
        <v>0</v>
      </c>
      <c r="T136" s="76"/>
      <c r="U136" s="76">
        <v>0</v>
      </c>
      <c r="V136" s="76"/>
      <c r="W136" s="76">
        <v>0</v>
      </c>
      <c r="X136" s="76"/>
      <c r="Y136" s="76">
        <v>0</v>
      </c>
      <c r="Z136" s="76"/>
      <c r="AA136" s="76">
        <v>0</v>
      </c>
      <c r="AB136" s="76"/>
      <c r="AC136" s="76">
        <v>1673.83</v>
      </c>
      <c r="AD136" s="76"/>
      <c r="AE136" s="76">
        <f t="shared" si="10"/>
        <v>65967.350000000006</v>
      </c>
      <c r="AF136" s="76"/>
      <c r="AG136" s="76">
        <v>-28989.61</v>
      </c>
      <c r="AH136" s="76"/>
      <c r="AI136" s="76">
        <v>81760.460000000006</v>
      </c>
      <c r="AJ136" s="76"/>
      <c r="AK136" s="76">
        <v>52770.85</v>
      </c>
      <c r="AL136" s="24">
        <f>+'Gen Rev'!AI136-'Gen Exp'!AE136+'Gen Exp'!AI136-AK136</f>
        <v>0</v>
      </c>
      <c r="AM136" s="41" t="str">
        <f>'Gen Rev'!A136</f>
        <v>Christiansburg</v>
      </c>
      <c r="AN136" s="21" t="str">
        <f t="shared" si="11"/>
        <v>Christiansburg</v>
      </c>
      <c r="AO136" s="21" t="b">
        <f t="shared" si="12"/>
        <v>1</v>
      </c>
    </row>
    <row r="137" spans="1:41" ht="12" customHeight="1" x14ac:dyDescent="0.2">
      <c r="A137" s="1" t="s">
        <v>211</v>
      </c>
      <c r="C137" s="1" t="s">
        <v>799</v>
      </c>
      <c r="D137" s="23"/>
      <c r="E137" s="76">
        <v>4134</v>
      </c>
      <c r="F137" s="76"/>
      <c r="G137" s="76">
        <v>0</v>
      </c>
      <c r="H137" s="76"/>
      <c r="I137" s="76">
        <v>3657.73</v>
      </c>
      <c r="J137" s="76"/>
      <c r="K137" s="76">
        <v>0</v>
      </c>
      <c r="L137" s="76"/>
      <c r="M137" s="76">
        <v>0</v>
      </c>
      <c r="N137" s="76"/>
      <c r="O137" s="76">
        <v>0</v>
      </c>
      <c r="P137" s="76"/>
      <c r="Q137" s="76">
        <v>49391.77</v>
      </c>
      <c r="R137" s="76"/>
      <c r="S137" s="76">
        <v>0</v>
      </c>
      <c r="T137" s="76"/>
      <c r="U137" s="76">
        <v>0</v>
      </c>
      <c r="V137" s="76"/>
      <c r="W137" s="76">
        <v>0</v>
      </c>
      <c r="X137" s="76"/>
      <c r="Y137" s="76">
        <v>0</v>
      </c>
      <c r="Z137" s="76"/>
      <c r="AA137" s="76">
        <v>0</v>
      </c>
      <c r="AB137" s="76"/>
      <c r="AC137" s="76">
        <v>45.25</v>
      </c>
      <c r="AD137" s="76"/>
      <c r="AE137" s="76">
        <f t="shared" si="10"/>
        <v>57228.75</v>
      </c>
      <c r="AF137" s="76"/>
      <c r="AG137" s="76">
        <v>-8886.75</v>
      </c>
      <c r="AH137" s="76"/>
      <c r="AI137" s="76">
        <v>25956.27</v>
      </c>
      <c r="AJ137" s="76"/>
      <c r="AK137" s="76">
        <v>17069.52</v>
      </c>
      <c r="AL137" s="24">
        <f>+'Gen Rev'!AI137-'Gen Exp'!AE137+'Gen Exp'!AI137-AK137</f>
        <v>0</v>
      </c>
      <c r="AM137" s="41" t="str">
        <f>'Gen Rev'!A137</f>
        <v>Clarksburg</v>
      </c>
      <c r="AN137" s="21" t="str">
        <f t="shared" si="11"/>
        <v>Clarksburg</v>
      </c>
      <c r="AO137" s="21" t="b">
        <f t="shared" si="12"/>
        <v>1</v>
      </c>
    </row>
    <row r="138" spans="1:41" s="21" customFormat="1" ht="12" hidden="1" customHeight="1" x14ac:dyDescent="0.2">
      <c r="A138" s="1" t="s">
        <v>300</v>
      </c>
      <c r="B138" s="1"/>
      <c r="C138" s="1" t="s">
        <v>299</v>
      </c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>
        <f t="shared" si="10"/>
        <v>0</v>
      </c>
      <c r="AF138" s="76"/>
      <c r="AG138" s="76"/>
      <c r="AH138" s="76"/>
      <c r="AI138" s="76"/>
      <c r="AJ138" s="76"/>
      <c r="AK138" s="76"/>
      <c r="AL138" s="24">
        <f>+'Gen Rev'!AI138-'Gen Exp'!AE138+'Gen Exp'!AI138-AK138</f>
        <v>0</v>
      </c>
      <c r="AM138" s="41" t="str">
        <f>'Gen Rev'!A138</f>
        <v>Clarksville</v>
      </c>
      <c r="AN138" s="21" t="str">
        <f t="shared" si="11"/>
        <v>Clarksville</v>
      </c>
      <c r="AO138" s="21" t="b">
        <f t="shared" si="12"/>
        <v>1</v>
      </c>
    </row>
    <row r="139" spans="1:41" ht="12" customHeight="1" x14ac:dyDescent="0.2">
      <c r="A139" s="1" t="s">
        <v>179</v>
      </c>
      <c r="C139" s="1" t="s">
        <v>791</v>
      </c>
      <c r="D139" s="23"/>
      <c r="E139" s="76">
        <v>12425.2</v>
      </c>
      <c r="F139" s="76"/>
      <c r="G139" s="76">
        <v>0</v>
      </c>
      <c r="H139" s="76"/>
      <c r="I139" s="76">
        <v>6478.47</v>
      </c>
      <c r="J139" s="76"/>
      <c r="K139" s="76">
        <v>54.97</v>
      </c>
      <c r="L139" s="76"/>
      <c r="M139" s="76">
        <v>22018.59</v>
      </c>
      <c r="N139" s="76"/>
      <c r="O139" s="76">
        <v>8286.18</v>
      </c>
      <c r="P139" s="76"/>
      <c r="Q139" s="76">
        <v>36892.370000000003</v>
      </c>
      <c r="R139" s="76"/>
      <c r="S139" s="76">
        <v>0</v>
      </c>
      <c r="T139" s="76"/>
      <c r="U139" s="76">
        <v>0</v>
      </c>
      <c r="V139" s="76"/>
      <c r="W139" s="76">
        <v>0</v>
      </c>
      <c r="X139" s="76"/>
      <c r="Y139" s="76">
        <v>0</v>
      </c>
      <c r="Z139" s="76"/>
      <c r="AA139" s="76">
        <v>0</v>
      </c>
      <c r="AB139" s="76"/>
      <c r="AC139" s="76">
        <v>0</v>
      </c>
      <c r="AD139" s="76"/>
      <c r="AE139" s="76">
        <f t="shared" si="10"/>
        <v>86155.78</v>
      </c>
      <c r="AF139" s="76"/>
      <c r="AG139" s="76">
        <v>-24165.439999999999</v>
      </c>
      <c r="AH139" s="76"/>
      <c r="AI139" s="76">
        <v>122928.49</v>
      </c>
      <c r="AJ139" s="76"/>
      <c r="AK139" s="76">
        <v>98763.05</v>
      </c>
      <c r="AL139" s="24">
        <f>+'Gen Rev'!AI139-'Gen Exp'!AE139+'Gen Exp'!AI139-AK139</f>
        <v>0</v>
      </c>
      <c r="AM139" s="41" t="str">
        <f>'Gen Rev'!A139</f>
        <v>Clay Center</v>
      </c>
      <c r="AN139" s="21" t="str">
        <f t="shared" si="11"/>
        <v>Clay Center</v>
      </c>
      <c r="AO139" s="21" t="b">
        <f t="shared" si="12"/>
        <v>1</v>
      </c>
    </row>
    <row r="140" spans="1:41" ht="12" customHeight="1" x14ac:dyDescent="0.2">
      <c r="A140" s="1" t="s">
        <v>839</v>
      </c>
      <c r="C140" s="1" t="s">
        <v>763</v>
      </c>
      <c r="E140" s="76">
        <v>427674.74</v>
      </c>
      <c r="F140" s="76"/>
      <c r="G140" s="76">
        <v>2952.14</v>
      </c>
      <c r="H140" s="76"/>
      <c r="I140" s="76">
        <v>28895.97</v>
      </c>
      <c r="J140" s="76"/>
      <c r="K140" s="76">
        <v>38475.910000000003</v>
      </c>
      <c r="L140" s="76"/>
      <c r="M140" s="76">
        <v>0</v>
      </c>
      <c r="N140" s="76"/>
      <c r="O140" s="76">
        <v>103693.43</v>
      </c>
      <c r="P140" s="76"/>
      <c r="Q140" s="76">
        <v>323337.11</v>
      </c>
      <c r="R140" s="76"/>
      <c r="S140" s="76">
        <v>21538.99</v>
      </c>
      <c r="T140" s="76"/>
      <c r="U140" s="76">
        <v>30546.639999999999</v>
      </c>
      <c r="V140" s="76"/>
      <c r="W140" s="76">
        <v>8691.8799999999992</v>
      </c>
      <c r="X140" s="76"/>
      <c r="Y140" s="76">
        <v>4000</v>
      </c>
      <c r="Z140" s="76"/>
      <c r="AA140" s="76">
        <v>0</v>
      </c>
      <c r="AB140" s="76"/>
      <c r="AC140" s="76">
        <v>0</v>
      </c>
      <c r="AD140" s="76"/>
      <c r="AE140" s="76">
        <f t="shared" si="10"/>
        <v>989806.80999999994</v>
      </c>
      <c r="AF140" s="76"/>
      <c r="AG140" s="76">
        <v>-156523.31</v>
      </c>
      <c r="AH140" s="76"/>
      <c r="AI140" s="76">
        <v>502636.89</v>
      </c>
      <c r="AJ140" s="76"/>
      <c r="AK140" s="76">
        <v>346113.58</v>
      </c>
      <c r="AL140" s="24">
        <f>+'Gen Rev'!AI140-'Gen Exp'!AE140+'Gen Exp'!AI140-AK140</f>
        <v>0</v>
      </c>
      <c r="AM140" s="41" t="str">
        <f>'Gen Rev'!A140</f>
        <v>Cleves</v>
      </c>
      <c r="AN140" s="21" t="str">
        <f t="shared" si="11"/>
        <v>Cleves</v>
      </c>
      <c r="AO140" s="21" t="b">
        <f t="shared" si="12"/>
        <v>1</v>
      </c>
    </row>
    <row r="141" spans="1:41" s="21" customFormat="1" ht="12" customHeight="1" x14ac:dyDescent="0.2">
      <c r="A141" s="1" t="s">
        <v>372</v>
      </c>
      <c r="B141" s="1"/>
      <c r="C141" s="1" t="s">
        <v>373</v>
      </c>
      <c r="D141" s="1"/>
      <c r="E141" s="76">
        <v>3949</v>
      </c>
      <c r="F141" s="76"/>
      <c r="G141" s="76">
        <v>171</v>
      </c>
      <c r="H141" s="76"/>
      <c r="I141" s="76">
        <v>13</v>
      </c>
      <c r="J141" s="76"/>
      <c r="K141" s="76">
        <v>17</v>
      </c>
      <c r="L141" s="76"/>
      <c r="M141" s="76">
        <v>0</v>
      </c>
      <c r="N141" s="76"/>
      <c r="O141" s="76">
        <v>0</v>
      </c>
      <c r="P141" s="76"/>
      <c r="Q141" s="76">
        <v>14791</v>
      </c>
      <c r="R141" s="76"/>
      <c r="S141" s="76">
        <v>0</v>
      </c>
      <c r="T141" s="76"/>
      <c r="U141" s="76">
        <v>0</v>
      </c>
      <c r="V141" s="76"/>
      <c r="W141" s="76">
        <v>0</v>
      </c>
      <c r="X141" s="76"/>
      <c r="Y141" s="76">
        <v>0</v>
      </c>
      <c r="Z141" s="76"/>
      <c r="AA141" s="76">
        <v>0</v>
      </c>
      <c r="AB141" s="76"/>
      <c r="AC141" s="76">
        <v>0</v>
      </c>
      <c r="AD141" s="76"/>
      <c r="AE141" s="76">
        <f t="shared" ref="AE141:AE147" si="13">SUM(E141:AC141)</f>
        <v>18941</v>
      </c>
      <c r="AF141" s="76"/>
      <c r="AG141" s="76">
        <v>7846</v>
      </c>
      <c r="AH141" s="76"/>
      <c r="AI141" s="76">
        <v>10725</v>
      </c>
      <c r="AJ141" s="76"/>
      <c r="AK141" s="76">
        <v>18571</v>
      </c>
      <c r="AL141" s="24">
        <f>+'Gen Rev'!AI141-'Gen Exp'!AE141+'Gen Exp'!AI141-AK141</f>
        <v>0</v>
      </c>
      <c r="AM141" s="41" t="str">
        <f>'Gen Rev'!A141</f>
        <v>Clifton</v>
      </c>
      <c r="AN141" s="21" t="str">
        <f t="shared" ref="AN141:AN147" si="14">A141</f>
        <v>Clifton</v>
      </c>
      <c r="AO141" s="21" t="b">
        <f t="shared" ref="AO141:AO172" si="15">AM141=AN141</f>
        <v>1</v>
      </c>
    </row>
    <row r="142" spans="1:41" s="21" customFormat="1" ht="12" customHeight="1" x14ac:dyDescent="0.2">
      <c r="A142" s="1" t="s">
        <v>299</v>
      </c>
      <c r="B142" s="1"/>
      <c r="C142" s="1" t="s">
        <v>549</v>
      </c>
      <c r="D142" s="23"/>
      <c r="E142" s="76">
        <v>86383.4</v>
      </c>
      <c r="F142" s="76"/>
      <c r="G142" s="76">
        <v>7400.5</v>
      </c>
      <c r="H142" s="76"/>
      <c r="I142" s="76">
        <v>1600</v>
      </c>
      <c r="J142" s="76"/>
      <c r="K142" s="76">
        <v>9185.9</v>
      </c>
      <c r="L142" s="76"/>
      <c r="M142" s="76">
        <v>0</v>
      </c>
      <c r="N142" s="76"/>
      <c r="O142" s="76">
        <v>15634.67</v>
      </c>
      <c r="P142" s="76"/>
      <c r="Q142" s="76">
        <v>68403.98</v>
      </c>
      <c r="R142" s="76"/>
      <c r="S142" s="76">
        <v>0</v>
      </c>
      <c r="T142" s="76"/>
      <c r="U142" s="76">
        <v>0</v>
      </c>
      <c r="V142" s="76"/>
      <c r="W142" s="76">
        <v>0</v>
      </c>
      <c r="X142" s="76"/>
      <c r="Y142" s="76">
        <v>0</v>
      </c>
      <c r="Z142" s="76"/>
      <c r="AA142" s="76">
        <v>0</v>
      </c>
      <c r="AB142" s="76"/>
      <c r="AC142" s="76">
        <v>0</v>
      </c>
      <c r="AD142" s="76"/>
      <c r="AE142" s="76">
        <f t="shared" si="13"/>
        <v>188608.44999999998</v>
      </c>
      <c r="AF142" s="76"/>
      <c r="AG142" s="76">
        <v>76685.02</v>
      </c>
      <c r="AH142" s="76"/>
      <c r="AI142" s="76">
        <v>-10472.969999999999</v>
      </c>
      <c r="AJ142" s="76"/>
      <c r="AK142" s="76">
        <v>66212.05</v>
      </c>
      <c r="AL142" s="24">
        <f>+'Gen Rev'!AI142-'Gen Exp'!AE142+'Gen Exp'!AI142-AK142</f>
        <v>0</v>
      </c>
      <c r="AM142" s="41" t="str">
        <f>'Gen Rev'!A142</f>
        <v>Clinton</v>
      </c>
      <c r="AN142" s="21" t="str">
        <f t="shared" si="14"/>
        <v>Clinton</v>
      </c>
      <c r="AO142" s="21" t="b">
        <f t="shared" si="15"/>
        <v>1</v>
      </c>
    </row>
    <row r="143" spans="1:41" s="21" customFormat="1" ht="12" customHeight="1" x14ac:dyDescent="0.2">
      <c r="A143" s="15" t="s">
        <v>662</v>
      </c>
      <c r="B143" s="15"/>
      <c r="C143" s="15" t="s">
        <v>513</v>
      </c>
      <c r="D143" s="1"/>
      <c r="E143" s="76">
        <v>667.88</v>
      </c>
      <c r="F143" s="76"/>
      <c r="G143" s="76">
        <v>0</v>
      </c>
      <c r="H143" s="76"/>
      <c r="I143" s="76">
        <v>191.22</v>
      </c>
      <c r="J143" s="76"/>
      <c r="K143" s="76">
        <v>0</v>
      </c>
      <c r="L143" s="76"/>
      <c r="M143" s="76">
        <v>1501.38</v>
      </c>
      <c r="N143" s="76"/>
      <c r="O143" s="76">
        <v>22.57</v>
      </c>
      <c r="P143" s="76"/>
      <c r="Q143" s="76">
        <v>49700.5</v>
      </c>
      <c r="R143" s="76"/>
      <c r="S143" s="76">
        <v>0</v>
      </c>
      <c r="T143" s="76"/>
      <c r="U143" s="76">
        <v>0</v>
      </c>
      <c r="V143" s="76"/>
      <c r="W143" s="76">
        <v>0</v>
      </c>
      <c r="X143" s="76"/>
      <c r="Y143" s="76">
        <v>0</v>
      </c>
      <c r="Z143" s="76"/>
      <c r="AA143" s="76">
        <v>0</v>
      </c>
      <c r="AB143" s="76"/>
      <c r="AC143" s="76">
        <v>0</v>
      </c>
      <c r="AD143" s="76"/>
      <c r="AE143" s="76">
        <f t="shared" si="13"/>
        <v>52083.55</v>
      </c>
      <c r="AF143" s="76"/>
      <c r="AG143" s="76">
        <v>-19938.53</v>
      </c>
      <c r="AH143" s="76"/>
      <c r="AI143" s="76">
        <v>132242.38</v>
      </c>
      <c r="AJ143" s="76"/>
      <c r="AK143" s="76">
        <v>112303.85</v>
      </c>
      <c r="AL143" s="24">
        <f>+'Gen Rev'!AI143-'Gen Exp'!AE143+'Gen Exp'!AI143-AK143</f>
        <v>0</v>
      </c>
      <c r="AM143" s="41" t="str">
        <f>'Gen Rev'!A143</f>
        <v>Cloverdale</v>
      </c>
      <c r="AN143" s="21" t="str">
        <f t="shared" si="14"/>
        <v>Cloverdale</v>
      </c>
      <c r="AO143" s="21" t="b">
        <f t="shared" si="15"/>
        <v>1</v>
      </c>
    </row>
    <row r="144" spans="1:41" s="24" customFormat="1" ht="12" customHeight="1" x14ac:dyDescent="0.2">
      <c r="A144" s="1" t="s">
        <v>125</v>
      </c>
      <c r="B144" s="1"/>
      <c r="C144" s="1" t="s">
        <v>773</v>
      </c>
      <c r="D144" s="23"/>
      <c r="E144" s="76">
        <v>356352.14</v>
      </c>
      <c r="F144" s="76"/>
      <c r="G144" s="76">
        <v>0</v>
      </c>
      <c r="H144" s="76"/>
      <c r="I144" s="76">
        <v>10001.58</v>
      </c>
      <c r="J144" s="76"/>
      <c r="K144" s="76">
        <v>445.1</v>
      </c>
      <c r="L144" s="76"/>
      <c r="M144" s="76">
        <v>0</v>
      </c>
      <c r="N144" s="76"/>
      <c r="O144" s="76">
        <v>0</v>
      </c>
      <c r="P144" s="76"/>
      <c r="Q144" s="76">
        <v>202052.74</v>
      </c>
      <c r="R144" s="76"/>
      <c r="S144" s="76">
        <v>0</v>
      </c>
      <c r="T144" s="76"/>
      <c r="U144" s="76">
        <v>0</v>
      </c>
      <c r="V144" s="76"/>
      <c r="W144" s="76">
        <v>0</v>
      </c>
      <c r="X144" s="76"/>
      <c r="Y144" s="76">
        <v>0</v>
      </c>
      <c r="Z144" s="76"/>
      <c r="AA144" s="76">
        <v>50228.24</v>
      </c>
      <c r="AB144" s="76"/>
      <c r="AC144" s="76">
        <v>0</v>
      </c>
      <c r="AD144" s="76"/>
      <c r="AE144" s="76">
        <f t="shared" si="13"/>
        <v>619079.80000000005</v>
      </c>
      <c r="AF144" s="76"/>
      <c r="AG144" s="76">
        <v>-28613.78</v>
      </c>
      <c r="AH144" s="76"/>
      <c r="AI144" s="76">
        <v>37056.86</v>
      </c>
      <c r="AJ144" s="76"/>
      <c r="AK144" s="76">
        <v>8443.08</v>
      </c>
      <c r="AL144" s="24">
        <f>+'Gen Rev'!AI144-'Gen Exp'!AE144+'Gen Exp'!AI144-AK144</f>
        <v>-2.7284841053187847E-11</v>
      </c>
      <c r="AM144" s="41" t="str">
        <f>'Gen Rev'!A144</f>
        <v>Coal Grove</v>
      </c>
      <c r="AN144" s="21" t="str">
        <f t="shared" si="14"/>
        <v>Coal Grove</v>
      </c>
      <c r="AO144" s="21" t="b">
        <f t="shared" si="15"/>
        <v>1</v>
      </c>
    </row>
    <row r="145" spans="1:41" s="21" customFormat="1" ht="12" customHeight="1" x14ac:dyDescent="0.2">
      <c r="A145" s="1" t="s">
        <v>664</v>
      </c>
      <c r="B145" s="1"/>
      <c r="C145" s="1" t="s">
        <v>663</v>
      </c>
      <c r="D145" s="1"/>
      <c r="E145" s="76">
        <v>54477.03</v>
      </c>
      <c r="F145" s="76"/>
      <c r="G145" s="76">
        <v>0</v>
      </c>
      <c r="H145" s="76"/>
      <c r="I145" s="76">
        <v>0</v>
      </c>
      <c r="J145" s="76"/>
      <c r="K145" s="76">
        <v>0</v>
      </c>
      <c r="L145" s="76"/>
      <c r="M145" s="76">
        <v>0</v>
      </c>
      <c r="N145" s="76"/>
      <c r="O145" s="76">
        <v>0</v>
      </c>
      <c r="P145" s="76"/>
      <c r="Q145" s="76">
        <v>33436.9</v>
      </c>
      <c r="R145" s="76"/>
      <c r="S145" s="76">
        <v>0</v>
      </c>
      <c r="T145" s="76"/>
      <c r="U145" s="76">
        <v>0</v>
      </c>
      <c r="V145" s="76"/>
      <c r="W145" s="76">
        <v>0</v>
      </c>
      <c r="X145" s="76"/>
      <c r="Y145" s="76">
        <v>0</v>
      </c>
      <c r="Z145" s="76"/>
      <c r="AA145" s="76">
        <v>0</v>
      </c>
      <c r="AB145" s="76"/>
      <c r="AC145" s="76">
        <v>0</v>
      </c>
      <c r="AD145" s="76"/>
      <c r="AE145" s="76">
        <f t="shared" si="13"/>
        <v>87913.93</v>
      </c>
      <c r="AF145" s="76"/>
      <c r="AG145" s="76">
        <v>144.19999999999999</v>
      </c>
      <c r="AH145" s="76"/>
      <c r="AI145" s="76">
        <v>108520.33</v>
      </c>
      <c r="AJ145" s="76"/>
      <c r="AK145" s="76">
        <v>108664.53</v>
      </c>
      <c r="AL145" s="24">
        <f>+'Gen Rev'!AI145-'Gen Exp'!AE145+'Gen Exp'!AI145-AK145</f>
        <v>0</v>
      </c>
      <c r="AM145" s="41" t="str">
        <f>'Gen Rev'!A145</f>
        <v>Coalton</v>
      </c>
      <c r="AN145" s="21" t="str">
        <f t="shared" si="14"/>
        <v>Coalton</v>
      </c>
      <c r="AO145" s="21" t="b">
        <f t="shared" si="15"/>
        <v>1</v>
      </c>
    </row>
    <row r="146" spans="1:41" s="21" customFormat="1" ht="12" customHeight="1" x14ac:dyDescent="0.2">
      <c r="A146" s="1" t="s">
        <v>884</v>
      </c>
      <c r="B146" s="1"/>
      <c r="C146" s="1" t="s">
        <v>466</v>
      </c>
      <c r="D146" s="23"/>
      <c r="E146" s="76">
        <v>677181</v>
      </c>
      <c r="F146" s="76"/>
      <c r="G146" s="76">
        <v>22273</v>
      </c>
      <c r="H146" s="76"/>
      <c r="I146" s="76">
        <v>0</v>
      </c>
      <c r="J146" s="76"/>
      <c r="K146" s="76">
        <v>0</v>
      </c>
      <c r="L146" s="76"/>
      <c r="M146" s="76">
        <v>0</v>
      </c>
      <c r="N146" s="76"/>
      <c r="O146" s="76">
        <v>0</v>
      </c>
      <c r="P146" s="76"/>
      <c r="Q146" s="76">
        <v>397124</v>
      </c>
      <c r="R146" s="76"/>
      <c r="S146" s="76">
        <v>2150</v>
      </c>
      <c r="T146" s="76"/>
      <c r="U146" s="76">
        <v>0</v>
      </c>
      <c r="V146" s="76"/>
      <c r="W146" s="76">
        <v>0</v>
      </c>
      <c r="X146" s="76"/>
      <c r="Y146" s="76">
        <v>0</v>
      </c>
      <c r="Z146" s="76"/>
      <c r="AA146" s="76">
        <v>0</v>
      </c>
      <c r="AB146" s="76"/>
      <c r="AC146" s="76">
        <v>808558</v>
      </c>
      <c r="AD146" s="76"/>
      <c r="AE146" s="76">
        <f t="shared" si="13"/>
        <v>1907286</v>
      </c>
      <c r="AF146" s="76"/>
      <c r="AG146" s="76">
        <v>26077</v>
      </c>
      <c r="AH146" s="76"/>
      <c r="AI146" s="76">
        <v>195311</v>
      </c>
      <c r="AJ146" s="76"/>
      <c r="AK146" s="76">
        <v>221388</v>
      </c>
      <c r="AL146" s="24">
        <f>+'Gen Rev'!AI146-'Gen Exp'!AE146+'Gen Exp'!AI146-AK146</f>
        <v>0</v>
      </c>
      <c r="AM146" s="41" t="str">
        <f>'Gen Rev'!A146</f>
        <v>Coldwater</v>
      </c>
      <c r="AN146" s="21" t="str">
        <f t="shared" si="14"/>
        <v>Coldwater</v>
      </c>
      <c r="AO146" s="21" t="b">
        <f t="shared" si="15"/>
        <v>1</v>
      </c>
    </row>
    <row r="147" spans="1:41" ht="12" customHeight="1" x14ac:dyDescent="0.2">
      <c r="A147" s="1" t="s">
        <v>199</v>
      </c>
      <c r="C147" s="1" t="s">
        <v>796</v>
      </c>
      <c r="D147" s="23"/>
      <c r="E147" s="76">
        <v>10222.040000000001</v>
      </c>
      <c r="F147" s="76"/>
      <c r="G147" s="76">
        <v>0</v>
      </c>
      <c r="H147" s="76"/>
      <c r="I147" s="76">
        <v>0</v>
      </c>
      <c r="J147" s="76"/>
      <c r="K147" s="76">
        <v>0</v>
      </c>
      <c r="L147" s="76"/>
      <c r="M147" s="76">
        <v>0</v>
      </c>
      <c r="N147" s="76"/>
      <c r="O147" s="76">
        <v>0</v>
      </c>
      <c r="P147" s="76"/>
      <c r="Q147" s="76">
        <v>22568.03</v>
      </c>
      <c r="R147" s="76"/>
      <c r="S147" s="76">
        <v>0</v>
      </c>
      <c r="T147" s="76"/>
      <c r="U147" s="76">
        <v>0</v>
      </c>
      <c r="V147" s="76"/>
      <c r="W147" s="76">
        <v>0</v>
      </c>
      <c r="X147" s="76"/>
      <c r="Y147" s="76">
        <v>0</v>
      </c>
      <c r="Z147" s="76"/>
      <c r="AA147" s="76">
        <v>0</v>
      </c>
      <c r="AB147" s="76"/>
      <c r="AC147" s="76">
        <v>1272.42</v>
      </c>
      <c r="AD147" s="76"/>
      <c r="AE147" s="76">
        <f t="shared" si="13"/>
        <v>34062.49</v>
      </c>
      <c r="AF147" s="76"/>
      <c r="AG147" s="76">
        <v>33438.239999999998</v>
      </c>
      <c r="AH147" s="76"/>
      <c r="AI147" s="76">
        <v>50739.76</v>
      </c>
      <c r="AJ147" s="76"/>
      <c r="AK147" s="76">
        <v>84178</v>
      </c>
      <c r="AL147" s="24">
        <f>+'Gen Rev'!AI147-'Gen Exp'!AE147+'Gen Exp'!AI147-AK147</f>
        <v>0</v>
      </c>
      <c r="AM147" s="41" t="str">
        <f>'Gen Rev'!A147</f>
        <v>College Corner</v>
      </c>
      <c r="AN147" s="21" t="str">
        <f t="shared" si="14"/>
        <v>College Corner</v>
      </c>
      <c r="AO147" s="21" t="b">
        <f t="shared" si="15"/>
        <v>1</v>
      </c>
    </row>
    <row r="148" spans="1:41" s="21" customFormat="1" ht="12" customHeight="1" x14ac:dyDescent="0.2">
      <c r="A148" s="1"/>
      <c r="B148" s="1"/>
      <c r="C148" s="1"/>
      <c r="D148" s="23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24"/>
      <c r="AM148" s="41"/>
    </row>
    <row r="149" spans="1:41" s="21" customFormat="1" ht="12" customHeight="1" x14ac:dyDescent="0.2">
      <c r="A149" s="1"/>
      <c r="B149" s="1"/>
      <c r="C149" s="1"/>
      <c r="D149" s="23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 t="s">
        <v>850</v>
      </c>
      <c r="AF149" s="76"/>
      <c r="AG149" s="76"/>
      <c r="AH149" s="76"/>
      <c r="AI149" s="76"/>
      <c r="AJ149" s="76"/>
      <c r="AK149" s="76"/>
      <c r="AL149" s="24"/>
      <c r="AM149" s="41"/>
    </row>
    <row r="150" spans="1:41" s="21" customFormat="1" ht="12" customHeight="1" x14ac:dyDescent="0.2">
      <c r="A150" s="1"/>
      <c r="B150" s="1"/>
      <c r="C150" s="1"/>
      <c r="D150" s="23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24"/>
      <c r="AM150" s="41"/>
    </row>
    <row r="151" spans="1:41" ht="12" customHeight="1" x14ac:dyDescent="0.2">
      <c r="A151" s="1" t="s">
        <v>514</v>
      </c>
      <c r="C151" s="1" t="s">
        <v>513</v>
      </c>
      <c r="E151" s="88">
        <v>173036</v>
      </c>
      <c r="F151" s="88"/>
      <c r="G151" s="88">
        <v>0</v>
      </c>
      <c r="H151" s="88"/>
      <c r="I151" s="88">
        <v>123136</v>
      </c>
      <c r="J151" s="88"/>
      <c r="K151" s="88">
        <v>0</v>
      </c>
      <c r="L151" s="88"/>
      <c r="M151" s="88">
        <v>1832</v>
      </c>
      <c r="N151" s="88"/>
      <c r="O151" s="88">
        <v>5381</v>
      </c>
      <c r="P151" s="88"/>
      <c r="Q151" s="88">
        <v>165068</v>
      </c>
      <c r="R151" s="88"/>
      <c r="S151" s="88">
        <v>24784</v>
      </c>
      <c r="T151" s="88"/>
      <c r="U151" s="88">
        <v>0</v>
      </c>
      <c r="V151" s="88"/>
      <c r="W151" s="88">
        <v>0</v>
      </c>
      <c r="X151" s="88"/>
      <c r="Y151" s="88">
        <v>165488</v>
      </c>
      <c r="Z151" s="88"/>
      <c r="AA151" s="88">
        <v>0</v>
      </c>
      <c r="AB151" s="88"/>
      <c r="AC151" s="88">
        <v>0</v>
      </c>
      <c r="AD151" s="88"/>
      <c r="AE151" s="88">
        <f t="shared" ref="AE151:AE182" si="16">SUM(E151:AC151)</f>
        <v>658725</v>
      </c>
      <c r="AF151" s="76"/>
      <c r="AG151" s="76">
        <v>70224</v>
      </c>
      <c r="AH151" s="76"/>
      <c r="AI151" s="76">
        <f>AK151-AG151</f>
        <v>107134</v>
      </c>
      <c r="AJ151" s="76"/>
      <c r="AK151" s="76">
        <v>177358</v>
      </c>
      <c r="AL151" s="24">
        <f>+'Gen Rev'!AI148-'Gen Exp'!AE151+'Gen Exp'!AI151-AK151</f>
        <v>0</v>
      </c>
      <c r="AM151" s="41" t="str">
        <f>'Gen Rev'!A148</f>
        <v>Columbus Grove</v>
      </c>
      <c r="AN151" s="21" t="str">
        <f t="shared" ref="AN151:AN182" si="17">A151</f>
        <v>Columbus Grove</v>
      </c>
      <c r="AO151" s="21" t="b">
        <f t="shared" ref="AO151:AO182" si="18">AM151=AN151</f>
        <v>1</v>
      </c>
    </row>
    <row r="152" spans="1:41" ht="12" customHeight="1" x14ac:dyDescent="0.2">
      <c r="A152" s="1" t="s">
        <v>188</v>
      </c>
      <c r="C152" s="1" t="s">
        <v>793</v>
      </c>
      <c r="D152" s="23"/>
      <c r="E152" s="76">
        <v>125013.52</v>
      </c>
      <c r="F152" s="76"/>
      <c r="G152" s="76">
        <v>7316.62</v>
      </c>
      <c r="H152" s="76"/>
      <c r="I152" s="76">
        <v>0</v>
      </c>
      <c r="J152" s="76"/>
      <c r="K152" s="76">
        <v>6399.74</v>
      </c>
      <c r="L152" s="76"/>
      <c r="M152" s="76">
        <v>1009.51</v>
      </c>
      <c r="N152" s="76"/>
      <c r="O152" s="76">
        <v>89356.15</v>
      </c>
      <c r="P152" s="76"/>
      <c r="Q152" s="76">
        <v>137632.53</v>
      </c>
      <c r="R152" s="76"/>
      <c r="S152" s="76">
        <v>0</v>
      </c>
      <c r="T152" s="76"/>
      <c r="U152" s="76">
        <v>0</v>
      </c>
      <c r="V152" s="76"/>
      <c r="W152" s="76">
        <v>0</v>
      </c>
      <c r="X152" s="76"/>
      <c r="Y152" s="76">
        <v>0</v>
      </c>
      <c r="Z152" s="76"/>
      <c r="AA152" s="76">
        <v>0</v>
      </c>
      <c r="AB152" s="76"/>
      <c r="AC152" s="76">
        <v>0</v>
      </c>
      <c r="AD152" s="76"/>
      <c r="AE152" s="76">
        <f t="shared" si="16"/>
        <v>366728.07</v>
      </c>
      <c r="AF152" s="76"/>
      <c r="AG152" s="76">
        <v>135869.35</v>
      </c>
      <c r="AH152" s="76"/>
      <c r="AI152" s="76">
        <v>592156.71</v>
      </c>
      <c r="AJ152" s="76"/>
      <c r="AK152" s="76">
        <v>728026.06</v>
      </c>
      <c r="AL152" s="24">
        <f>+'Gen Rev'!AI149-'Gen Exp'!AE152+'Gen Exp'!AI152-AK152</f>
        <v>0</v>
      </c>
      <c r="AM152" s="41" t="str">
        <f>'Gen Rev'!A149</f>
        <v>Commercial Poin</v>
      </c>
      <c r="AN152" s="21" t="str">
        <f t="shared" si="17"/>
        <v>Commercial Poin</v>
      </c>
      <c r="AO152" s="21" t="b">
        <f t="shared" si="18"/>
        <v>1</v>
      </c>
    </row>
    <row r="153" spans="1:41" ht="12" hidden="1" customHeight="1" x14ac:dyDescent="0.2">
      <c r="A153" s="1" t="s">
        <v>307</v>
      </c>
      <c r="C153" s="1" t="s">
        <v>308</v>
      </c>
      <c r="D153" s="21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>
        <f t="shared" si="16"/>
        <v>0</v>
      </c>
      <c r="AF153" s="76"/>
      <c r="AG153" s="76"/>
      <c r="AH153" s="76"/>
      <c r="AI153" s="76"/>
      <c r="AJ153" s="76"/>
      <c r="AK153" s="76"/>
      <c r="AL153" s="24">
        <f>+'Gen Rev'!AI150-'Gen Exp'!AE153+'Gen Exp'!AI153-AK153</f>
        <v>0</v>
      </c>
      <c r="AM153" s="41" t="str">
        <f>'Gen Rev'!A150</f>
        <v>Conesville</v>
      </c>
      <c r="AN153" s="21" t="str">
        <f t="shared" si="17"/>
        <v>Conesville</v>
      </c>
      <c r="AO153" s="21" t="b">
        <f t="shared" si="18"/>
        <v>1</v>
      </c>
    </row>
    <row r="154" spans="1:41" s="21" customFormat="1" ht="12" customHeight="1" x14ac:dyDescent="0.2">
      <c r="A154" s="1" t="s">
        <v>918</v>
      </c>
      <c r="B154" s="1"/>
      <c r="C154" s="1" t="s">
        <v>588</v>
      </c>
      <c r="D154" s="1"/>
      <c r="E154" s="76">
        <v>0</v>
      </c>
      <c r="F154" s="76"/>
      <c r="G154" s="76">
        <v>240.96</v>
      </c>
      <c r="H154" s="76"/>
      <c r="I154" s="76">
        <v>0</v>
      </c>
      <c r="J154" s="76"/>
      <c r="K154" s="76">
        <v>0</v>
      </c>
      <c r="L154" s="76"/>
      <c r="M154" s="76">
        <v>0</v>
      </c>
      <c r="N154" s="76"/>
      <c r="O154" s="76">
        <v>0</v>
      </c>
      <c r="P154" s="76"/>
      <c r="Q154" s="76">
        <v>19399.240000000002</v>
      </c>
      <c r="R154" s="76"/>
      <c r="S154" s="76">
        <v>0</v>
      </c>
      <c r="T154" s="76"/>
      <c r="U154" s="76">
        <v>0</v>
      </c>
      <c r="V154" s="76"/>
      <c r="W154" s="76">
        <v>0</v>
      </c>
      <c r="X154" s="76"/>
      <c r="Y154" s="76">
        <v>3303.78</v>
      </c>
      <c r="Z154" s="76"/>
      <c r="AA154" s="76">
        <v>0</v>
      </c>
      <c r="AB154" s="76"/>
      <c r="AC154" s="76">
        <v>0</v>
      </c>
      <c r="AD154" s="76"/>
      <c r="AE154" s="76">
        <f t="shared" si="16"/>
        <v>22943.98</v>
      </c>
      <c r="AF154" s="76"/>
      <c r="AG154" s="76">
        <v>5451.18</v>
      </c>
      <c r="AH154" s="76"/>
      <c r="AI154" s="76">
        <v>4452.25</v>
      </c>
      <c r="AJ154" s="76"/>
      <c r="AK154" s="76">
        <v>9903.43</v>
      </c>
      <c r="AL154" s="24">
        <f>+'Gen Rev'!AI151-'Gen Exp'!AE154+'Gen Exp'!AI154-AK154</f>
        <v>0</v>
      </c>
      <c r="AM154" s="41" t="str">
        <f>'Gen Rev'!A151</f>
        <v>Congress</v>
      </c>
      <c r="AN154" s="21" t="str">
        <f t="shared" si="17"/>
        <v>Congress</v>
      </c>
      <c r="AO154" s="21" t="b">
        <f t="shared" si="18"/>
        <v>1</v>
      </c>
    </row>
    <row r="155" spans="1:41" s="21" customFormat="1" ht="12" customHeight="1" x14ac:dyDescent="0.2">
      <c r="A155" s="10" t="s">
        <v>202</v>
      </c>
      <c r="B155" s="10"/>
      <c r="C155" s="10" t="s">
        <v>797</v>
      </c>
      <c r="D155" s="23"/>
      <c r="E155" s="76">
        <v>64306.52</v>
      </c>
      <c r="F155" s="76"/>
      <c r="G155" s="76">
        <v>0</v>
      </c>
      <c r="H155" s="76"/>
      <c r="I155" s="76">
        <v>0</v>
      </c>
      <c r="J155" s="76"/>
      <c r="K155" s="76">
        <v>0</v>
      </c>
      <c r="L155" s="76"/>
      <c r="M155" s="76">
        <v>7194.72</v>
      </c>
      <c r="N155" s="76"/>
      <c r="O155" s="76">
        <v>0</v>
      </c>
      <c r="P155" s="76"/>
      <c r="Q155" s="76">
        <v>110232.11</v>
      </c>
      <c r="R155" s="76"/>
      <c r="S155" s="76">
        <v>15000</v>
      </c>
      <c r="T155" s="76"/>
      <c r="U155" s="76">
        <v>0</v>
      </c>
      <c r="V155" s="76"/>
      <c r="W155" s="76">
        <v>0</v>
      </c>
      <c r="X155" s="76"/>
      <c r="Y155" s="76">
        <v>35000</v>
      </c>
      <c r="Z155" s="76"/>
      <c r="AA155" s="76">
        <v>26390</v>
      </c>
      <c r="AB155" s="76"/>
      <c r="AC155" s="76">
        <v>0</v>
      </c>
      <c r="AD155" s="76"/>
      <c r="AE155" s="76">
        <f t="shared" si="16"/>
        <v>258123.34999999998</v>
      </c>
      <c r="AF155" s="76"/>
      <c r="AG155" s="76">
        <v>53918.87</v>
      </c>
      <c r="AH155" s="76"/>
      <c r="AI155" s="76">
        <v>109687.94</v>
      </c>
      <c r="AJ155" s="76"/>
      <c r="AK155" s="76">
        <v>163606.81</v>
      </c>
      <c r="AL155" s="24">
        <f>+'Gen Rev'!AI152-'Gen Exp'!AE155+'Gen Exp'!AI155-AK155</f>
        <v>0</v>
      </c>
      <c r="AM155" s="41" t="str">
        <f>'Gen Rev'!A152</f>
        <v>Continental</v>
      </c>
      <c r="AN155" s="21" t="str">
        <f t="shared" si="17"/>
        <v>Continental</v>
      </c>
      <c r="AO155" s="21" t="b">
        <f t="shared" si="18"/>
        <v>1</v>
      </c>
    </row>
    <row r="156" spans="1:41" ht="12" customHeight="1" x14ac:dyDescent="0.2">
      <c r="A156" s="1" t="s">
        <v>239</v>
      </c>
      <c r="C156" s="1" t="s">
        <v>808</v>
      </c>
      <c r="D156" s="23"/>
      <c r="E156" s="76">
        <v>131145.54</v>
      </c>
      <c r="F156" s="76"/>
      <c r="G156" s="76">
        <v>7872</v>
      </c>
      <c r="H156" s="76"/>
      <c r="I156" s="76">
        <v>0</v>
      </c>
      <c r="J156" s="76"/>
      <c r="K156" s="76">
        <v>2421.27</v>
      </c>
      <c r="L156" s="76"/>
      <c r="M156" s="76">
        <v>5296.36</v>
      </c>
      <c r="N156" s="76"/>
      <c r="O156" s="76">
        <v>40548.699999999997</v>
      </c>
      <c r="P156" s="76"/>
      <c r="Q156" s="76">
        <v>116147.09</v>
      </c>
      <c r="R156" s="76"/>
      <c r="S156" s="76">
        <v>9866</v>
      </c>
      <c r="T156" s="76"/>
      <c r="U156" s="76">
        <v>15585.8</v>
      </c>
      <c r="V156" s="76"/>
      <c r="W156" s="76">
        <v>0</v>
      </c>
      <c r="X156" s="76"/>
      <c r="Y156" s="76">
        <v>1845.68</v>
      </c>
      <c r="Z156" s="76"/>
      <c r="AA156" s="76">
        <v>0</v>
      </c>
      <c r="AB156" s="76"/>
      <c r="AC156" s="76">
        <v>0</v>
      </c>
      <c r="AD156" s="76"/>
      <c r="AE156" s="76">
        <f t="shared" si="16"/>
        <v>330728.43999999994</v>
      </c>
      <c r="AF156" s="76"/>
      <c r="AG156" s="76">
        <v>6020.2</v>
      </c>
      <c r="AH156" s="76"/>
      <c r="AI156" s="76">
        <v>468579.56</v>
      </c>
      <c r="AJ156" s="76"/>
      <c r="AK156" s="76">
        <v>474599.76</v>
      </c>
      <c r="AL156" s="24">
        <f>+'Gen Rev'!AI153-'Gen Exp'!AE156+'Gen Exp'!AI156-AK156</f>
        <v>0</v>
      </c>
      <c r="AM156" s="41" t="str">
        <f>'Gen Rev'!A153</f>
        <v>Convoy</v>
      </c>
      <c r="AN156" s="21" t="str">
        <f t="shared" si="17"/>
        <v>Convoy</v>
      </c>
      <c r="AO156" s="21" t="b">
        <f t="shared" si="18"/>
        <v>1</v>
      </c>
    </row>
    <row r="157" spans="1:41" s="36" customFormat="1" ht="12" customHeight="1" x14ac:dyDescent="0.2">
      <c r="A157" s="1" t="s">
        <v>919</v>
      </c>
      <c r="B157" s="1"/>
      <c r="C157" s="1" t="s">
        <v>271</v>
      </c>
      <c r="D157" s="23"/>
      <c r="E157" s="76">
        <v>19008.39</v>
      </c>
      <c r="F157" s="76"/>
      <c r="G157" s="76">
        <v>0</v>
      </c>
      <c r="H157" s="76"/>
      <c r="I157" s="76">
        <v>0</v>
      </c>
      <c r="J157" s="76"/>
      <c r="K157" s="76">
        <v>0</v>
      </c>
      <c r="L157" s="76"/>
      <c r="M157" s="76">
        <v>0</v>
      </c>
      <c r="N157" s="76"/>
      <c r="O157" s="76">
        <v>0</v>
      </c>
      <c r="P157" s="76"/>
      <c r="Q157" s="76">
        <v>13955.73</v>
      </c>
      <c r="R157" s="76"/>
      <c r="S157" s="76">
        <v>0</v>
      </c>
      <c r="T157" s="76"/>
      <c r="U157" s="76">
        <v>0</v>
      </c>
      <c r="V157" s="76"/>
      <c r="W157" s="76">
        <v>0</v>
      </c>
      <c r="X157" s="76"/>
      <c r="Y157" s="76">
        <v>0</v>
      </c>
      <c r="Z157" s="76"/>
      <c r="AA157" s="76">
        <v>0</v>
      </c>
      <c r="AB157" s="76"/>
      <c r="AC157" s="76">
        <v>0</v>
      </c>
      <c r="AD157" s="76"/>
      <c r="AE157" s="76">
        <f t="shared" si="16"/>
        <v>32964.119999999995</v>
      </c>
      <c r="AF157" s="76"/>
      <c r="AG157" s="76">
        <v>17155.13</v>
      </c>
      <c r="AH157" s="76"/>
      <c r="AI157" s="76">
        <v>-12380.59</v>
      </c>
      <c r="AJ157" s="76"/>
      <c r="AK157" s="76">
        <v>4774.54</v>
      </c>
      <c r="AL157" s="24">
        <f>+'Gen Rev'!AI154-'Gen Exp'!AE157+'Gen Exp'!AI157-AK157</f>
        <v>0</v>
      </c>
      <c r="AM157" s="41" t="str">
        <f>'Gen Rev'!A154</f>
        <v>Coolville</v>
      </c>
      <c r="AN157" s="21" t="str">
        <f t="shared" si="17"/>
        <v>Coolville</v>
      </c>
      <c r="AO157" s="21" t="b">
        <f t="shared" si="18"/>
        <v>1</v>
      </c>
    </row>
    <row r="158" spans="1:41" s="36" customFormat="1" ht="12" customHeight="1" x14ac:dyDescent="0.2">
      <c r="A158" s="1" t="s">
        <v>186</v>
      </c>
      <c r="B158" s="1"/>
      <c r="C158" s="1" t="s">
        <v>433</v>
      </c>
      <c r="D158" s="23"/>
      <c r="E158" s="76">
        <v>18768.07</v>
      </c>
      <c r="F158" s="76"/>
      <c r="G158" s="76">
        <v>0</v>
      </c>
      <c r="H158" s="76"/>
      <c r="I158" s="76">
        <v>1030.1500000000001</v>
      </c>
      <c r="J158" s="76"/>
      <c r="K158" s="76">
        <v>0</v>
      </c>
      <c r="L158" s="76"/>
      <c r="M158" s="76">
        <v>0</v>
      </c>
      <c r="N158" s="76"/>
      <c r="O158" s="76">
        <v>0</v>
      </c>
      <c r="P158" s="76"/>
      <c r="Q158" s="76">
        <v>37525.589999999997</v>
      </c>
      <c r="R158" s="76"/>
      <c r="S158" s="76">
        <v>0</v>
      </c>
      <c r="T158" s="76"/>
      <c r="U158" s="76">
        <v>0</v>
      </c>
      <c r="V158" s="76"/>
      <c r="W158" s="76">
        <v>0</v>
      </c>
      <c r="X158" s="76"/>
      <c r="Y158" s="76">
        <v>6000</v>
      </c>
      <c r="Z158" s="76"/>
      <c r="AA158" s="76">
        <v>0</v>
      </c>
      <c r="AB158" s="76"/>
      <c r="AC158" s="76">
        <v>0</v>
      </c>
      <c r="AD158" s="76"/>
      <c r="AE158" s="76">
        <f t="shared" si="16"/>
        <v>63323.81</v>
      </c>
      <c r="AF158" s="76"/>
      <c r="AG158" s="76">
        <v>-14464.06</v>
      </c>
      <c r="AH158" s="76"/>
      <c r="AI158" s="76">
        <v>95224.11</v>
      </c>
      <c r="AJ158" s="76"/>
      <c r="AK158" s="76">
        <v>80760.05</v>
      </c>
      <c r="AL158" s="24">
        <f>+'Gen Rev'!AI155-'Gen Exp'!AE158+'Gen Exp'!AI158-AK158</f>
        <v>0</v>
      </c>
      <c r="AM158" s="41" t="str">
        <f>'Gen Rev'!A155</f>
        <v>Corning</v>
      </c>
      <c r="AN158" s="21" t="str">
        <f t="shared" si="17"/>
        <v>Corning</v>
      </c>
      <c r="AO158" s="21" t="b">
        <f t="shared" si="18"/>
        <v>1</v>
      </c>
    </row>
    <row r="159" spans="1:41" ht="12" customHeight="1" x14ac:dyDescent="0.2">
      <c r="A159" s="1" t="s">
        <v>920</v>
      </c>
      <c r="C159" s="1" t="s">
        <v>484</v>
      </c>
      <c r="E159" s="76">
        <v>169166.92</v>
      </c>
      <c r="F159" s="76"/>
      <c r="G159" s="76">
        <v>0</v>
      </c>
      <c r="H159" s="76"/>
      <c r="I159" s="76">
        <v>29426.63</v>
      </c>
      <c r="J159" s="76"/>
      <c r="K159" s="76">
        <v>0</v>
      </c>
      <c r="L159" s="76"/>
      <c r="M159" s="76">
        <v>0</v>
      </c>
      <c r="N159" s="76"/>
      <c r="O159" s="76">
        <v>2500</v>
      </c>
      <c r="P159" s="76"/>
      <c r="Q159" s="76">
        <v>231564.66</v>
      </c>
      <c r="R159" s="76"/>
      <c r="S159" s="76">
        <v>22593.88</v>
      </c>
      <c r="T159" s="76"/>
      <c r="U159" s="76">
        <v>311070.90000000002</v>
      </c>
      <c r="V159" s="76"/>
      <c r="W159" s="76">
        <v>15555.9</v>
      </c>
      <c r="X159" s="76"/>
      <c r="Y159" s="76">
        <v>69888.47</v>
      </c>
      <c r="Z159" s="76"/>
      <c r="AA159" s="76">
        <v>0</v>
      </c>
      <c r="AB159" s="76"/>
      <c r="AC159" s="76">
        <v>0</v>
      </c>
      <c r="AD159" s="76"/>
      <c r="AE159" s="76">
        <f t="shared" si="16"/>
        <v>851767.36</v>
      </c>
      <c r="AF159" s="76"/>
      <c r="AG159" s="76">
        <v>23923.66</v>
      </c>
      <c r="AH159" s="76"/>
      <c r="AI159" s="76">
        <v>88607.89</v>
      </c>
      <c r="AJ159" s="76"/>
      <c r="AK159" s="76">
        <v>112531.55</v>
      </c>
      <c r="AL159" s="24">
        <f>+'Gen Rev'!AI156-'Gen Exp'!AE159+'Gen Exp'!AI159-AK159</f>
        <v>0</v>
      </c>
      <c r="AM159" s="41" t="str">
        <f>'Gen Rev'!A156</f>
        <v>Corp of South Zanesville</v>
      </c>
      <c r="AN159" s="21" t="str">
        <f t="shared" si="17"/>
        <v>Corp of South Zanesville</v>
      </c>
      <c r="AO159" s="21" t="b">
        <f t="shared" si="18"/>
        <v>1</v>
      </c>
    </row>
    <row r="160" spans="1:41" ht="12" customHeight="1" x14ac:dyDescent="0.2">
      <c r="A160" s="1" t="s">
        <v>579</v>
      </c>
      <c r="C160" s="1" t="s">
        <v>581</v>
      </c>
      <c r="E160" s="76">
        <v>4043</v>
      </c>
      <c r="F160" s="76"/>
      <c r="G160" s="76">
        <v>0</v>
      </c>
      <c r="H160" s="76"/>
      <c r="I160" s="76">
        <v>0</v>
      </c>
      <c r="J160" s="76"/>
      <c r="K160" s="76">
        <v>1439</v>
      </c>
      <c r="L160" s="76"/>
      <c r="M160" s="76">
        <v>0</v>
      </c>
      <c r="N160" s="76"/>
      <c r="O160" s="76">
        <v>0</v>
      </c>
      <c r="P160" s="76"/>
      <c r="Q160" s="76">
        <f>28825+1</f>
        <v>28826</v>
      </c>
      <c r="R160" s="76"/>
      <c r="S160" s="76">
        <v>0</v>
      </c>
      <c r="T160" s="76"/>
      <c r="U160" s="76">
        <v>0</v>
      </c>
      <c r="V160" s="76"/>
      <c r="W160" s="76">
        <v>0</v>
      </c>
      <c r="X160" s="76"/>
      <c r="Y160" s="76">
        <v>0</v>
      </c>
      <c r="Z160" s="76"/>
      <c r="AA160" s="76">
        <v>0</v>
      </c>
      <c r="AB160" s="76"/>
      <c r="AC160" s="76">
        <v>0</v>
      </c>
      <c r="AD160" s="76"/>
      <c r="AE160" s="76">
        <f t="shared" si="16"/>
        <v>34308</v>
      </c>
      <c r="AF160" s="76"/>
      <c r="AG160" s="76">
        <v>22586</v>
      </c>
      <c r="AH160" s="76"/>
      <c r="AI160" s="76">
        <v>238268</v>
      </c>
      <c r="AJ160" s="76"/>
      <c r="AK160" s="76">
        <v>260853</v>
      </c>
      <c r="AL160" s="24">
        <f>+'Gen Rev'!AI160-'Gen Exp'!AE160+'Gen Exp'!AI160-AK160</f>
        <v>0</v>
      </c>
      <c r="AM160" s="41" t="str">
        <f>'Gen Rev'!A160</f>
        <v>Corwin</v>
      </c>
      <c r="AN160" s="21" t="str">
        <f t="shared" si="17"/>
        <v>Corwin</v>
      </c>
      <c r="AO160" s="21" t="b">
        <f t="shared" si="18"/>
        <v>1</v>
      </c>
    </row>
    <row r="161" spans="1:41" s="21" customFormat="1" ht="12" customHeight="1" x14ac:dyDescent="0.2">
      <c r="A161" s="1" t="s">
        <v>885</v>
      </c>
      <c r="B161" s="1"/>
      <c r="C161" s="1" t="s">
        <v>470</v>
      </c>
      <c r="D161" s="23"/>
      <c r="E161" s="76">
        <v>519958</v>
      </c>
      <c r="F161" s="76"/>
      <c r="G161" s="76">
        <v>91801</v>
      </c>
      <c r="H161" s="76"/>
      <c r="I161" s="76">
        <v>8776</v>
      </c>
      <c r="J161" s="76"/>
      <c r="K161" s="76">
        <v>0</v>
      </c>
      <c r="L161" s="76"/>
      <c r="M161" s="76">
        <v>0</v>
      </c>
      <c r="N161" s="76"/>
      <c r="O161" s="76">
        <v>0</v>
      </c>
      <c r="P161" s="76"/>
      <c r="Q161" s="76">
        <v>240398</v>
      </c>
      <c r="R161" s="76"/>
      <c r="S161" s="76">
        <v>14362</v>
      </c>
      <c r="T161" s="76"/>
      <c r="U161" s="76">
        <v>90000</v>
      </c>
      <c r="V161" s="76"/>
      <c r="W161" s="76">
        <v>17213</v>
      </c>
      <c r="X161" s="76"/>
      <c r="Y161" s="76">
        <v>0</v>
      </c>
      <c r="Z161" s="76"/>
      <c r="AA161" s="76">
        <v>0</v>
      </c>
      <c r="AB161" s="76"/>
      <c r="AC161" s="76">
        <v>0</v>
      </c>
      <c r="AD161" s="76"/>
      <c r="AE161" s="76">
        <f t="shared" si="16"/>
        <v>982508</v>
      </c>
      <c r="AF161" s="76"/>
      <c r="AG161" s="76">
        <v>198071</v>
      </c>
      <c r="AH161" s="76"/>
      <c r="AI161" s="76">
        <v>249346</v>
      </c>
      <c r="AJ161" s="76"/>
      <c r="AK161" s="76">
        <v>447417</v>
      </c>
      <c r="AL161" s="24">
        <f>+'Gen Rev'!AI161-'Gen Exp'!AE161+'Gen Exp'!AI161-AK161</f>
        <v>0</v>
      </c>
      <c r="AM161" s="41" t="str">
        <f>'Gen Rev'!A161</f>
        <v>Covington</v>
      </c>
      <c r="AN161" s="21" t="str">
        <f t="shared" si="17"/>
        <v>Covington</v>
      </c>
      <c r="AO161" s="21" t="b">
        <f t="shared" si="18"/>
        <v>1</v>
      </c>
    </row>
    <row r="162" spans="1:41" ht="12" customHeight="1" x14ac:dyDescent="0.2">
      <c r="A162" s="1" t="s">
        <v>144</v>
      </c>
      <c r="C162" s="1" t="s">
        <v>779</v>
      </c>
      <c r="E162" s="76">
        <v>54130.91</v>
      </c>
      <c r="F162" s="76"/>
      <c r="G162" s="76">
        <v>5438.03</v>
      </c>
      <c r="H162" s="76"/>
      <c r="I162" s="76">
        <v>0</v>
      </c>
      <c r="J162" s="76"/>
      <c r="K162" s="76">
        <v>3127.68</v>
      </c>
      <c r="L162" s="76"/>
      <c r="M162" s="76">
        <v>6843.05</v>
      </c>
      <c r="N162" s="76"/>
      <c r="O162" s="76">
        <v>0</v>
      </c>
      <c r="P162" s="76"/>
      <c r="Q162" s="76">
        <v>51714.1</v>
      </c>
      <c r="R162" s="76"/>
      <c r="S162" s="76">
        <v>0</v>
      </c>
      <c r="T162" s="76"/>
      <c r="U162" s="76">
        <v>0</v>
      </c>
      <c r="V162" s="76"/>
      <c r="W162" s="76">
        <v>0</v>
      </c>
      <c r="X162" s="76"/>
      <c r="Y162" s="76">
        <v>0</v>
      </c>
      <c r="Z162" s="76"/>
      <c r="AA162" s="76">
        <v>0</v>
      </c>
      <c r="AB162" s="76"/>
      <c r="AC162" s="76">
        <v>0</v>
      </c>
      <c r="AD162" s="76"/>
      <c r="AE162" s="76">
        <f t="shared" si="16"/>
        <v>121253.76999999999</v>
      </c>
      <c r="AF162" s="76"/>
      <c r="AG162" s="76">
        <v>-6499.26</v>
      </c>
      <c r="AH162" s="76"/>
      <c r="AI162" s="76">
        <v>62783.92</v>
      </c>
      <c r="AJ162" s="76"/>
      <c r="AK162" s="76">
        <v>56284.66</v>
      </c>
      <c r="AL162" s="24">
        <f>+'Gen Rev'!AI162-'Gen Exp'!AE162+'Gen Exp'!AI162-AK162</f>
        <v>0</v>
      </c>
      <c r="AM162" s="41" t="str">
        <f>'Gen Rev'!A162</f>
        <v>Craig Beach</v>
      </c>
      <c r="AN162" s="21" t="str">
        <f t="shared" si="17"/>
        <v>Craig Beach</v>
      </c>
      <c r="AO162" s="21" t="b">
        <f t="shared" si="18"/>
        <v>1</v>
      </c>
    </row>
    <row r="163" spans="1:41" ht="12" customHeight="1" x14ac:dyDescent="0.2">
      <c r="A163" s="1" t="s">
        <v>952</v>
      </c>
      <c r="C163" s="1" t="s">
        <v>312</v>
      </c>
      <c r="D163" s="23"/>
      <c r="E163" s="76">
        <v>1141160</v>
      </c>
      <c r="F163" s="76"/>
      <c r="G163" s="76">
        <v>0</v>
      </c>
      <c r="H163" s="76"/>
      <c r="I163" s="76">
        <v>72444</v>
      </c>
      <c r="J163" s="76"/>
      <c r="K163" s="76">
        <v>21730</v>
      </c>
      <c r="L163" s="76"/>
      <c r="M163" s="76">
        <v>0</v>
      </c>
      <c r="N163" s="76"/>
      <c r="O163" s="76">
        <v>0</v>
      </c>
      <c r="P163" s="76"/>
      <c r="Q163" s="76">
        <v>298008</v>
      </c>
      <c r="R163" s="76"/>
      <c r="S163" s="76">
        <v>0</v>
      </c>
      <c r="T163" s="76"/>
      <c r="U163" s="76">
        <v>2528</v>
      </c>
      <c r="V163" s="76"/>
      <c r="W163" s="76">
        <v>4183</v>
      </c>
      <c r="X163" s="76"/>
      <c r="Y163" s="76">
        <v>50000</v>
      </c>
      <c r="Z163" s="76"/>
      <c r="AA163" s="76">
        <v>0</v>
      </c>
      <c r="AB163" s="76"/>
      <c r="AC163" s="76">
        <v>0</v>
      </c>
      <c r="AD163" s="76"/>
      <c r="AE163" s="76">
        <f t="shared" si="16"/>
        <v>1590053</v>
      </c>
      <c r="AF163" s="76"/>
      <c r="AG163" s="76">
        <v>15676</v>
      </c>
      <c r="AH163" s="76"/>
      <c r="AI163" s="76">
        <v>70739</v>
      </c>
      <c r="AJ163" s="76"/>
      <c r="AK163" s="76">
        <v>86415</v>
      </c>
      <c r="AL163" s="24">
        <f>+'Gen Rev'!AI163-'Gen Exp'!AE163+'Gen Exp'!AI163-AK163</f>
        <v>0</v>
      </c>
      <c r="AM163" s="41" t="str">
        <f>'Gen Rev'!A163</f>
        <v>Crestline</v>
      </c>
      <c r="AN163" s="21" t="str">
        <f t="shared" si="17"/>
        <v>Crestline</v>
      </c>
      <c r="AO163" s="21" t="b">
        <f t="shared" si="18"/>
        <v>1</v>
      </c>
    </row>
    <row r="164" spans="1:41" ht="12" customHeight="1" x14ac:dyDescent="0.2">
      <c r="A164" s="1" t="s">
        <v>589</v>
      </c>
      <c r="C164" s="1" t="s">
        <v>590</v>
      </c>
      <c r="D164" s="23"/>
      <c r="E164" s="76">
        <v>13721.23</v>
      </c>
      <c r="F164" s="76"/>
      <c r="G164" s="76">
        <v>7990.76</v>
      </c>
      <c r="H164" s="76"/>
      <c r="I164" s="76">
        <v>0</v>
      </c>
      <c r="J164" s="76"/>
      <c r="K164" s="76">
        <v>0</v>
      </c>
      <c r="L164" s="76"/>
      <c r="M164" s="76">
        <v>0</v>
      </c>
      <c r="N164" s="76"/>
      <c r="O164" s="76">
        <v>0</v>
      </c>
      <c r="P164" s="76"/>
      <c r="Q164" s="76">
        <v>207744.22</v>
      </c>
      <c r="R164" s="76"/>
      <c r="S164" s="76">
        <v>4648.05</v>
      </c>
      <c r="T164" s="76"/>
      <c r="U164" s="76">
        <v>3386.2</v>
      </c>
      <c r="V164" s="76"/>
      <c r="W164" s="76">
        <v>1004.46</v>
      </c>
      <c r="X164" s="76"/>
      <c r="Y164" s="76">
        <v>129000</v>
      </c>
      <c r="Z164" s="76"/>
      <c r="AA164" s="76">
        <v>0</v>
      </c>
      <c r="AB164" s="76"/>
      <c r="AC164" s="76">
        <v>16.89</v>
      </c>
      <c r="AD164" s="76"/>
      <c r="AE164" s="76">
        <f t="shared" si="16"/>
        <v>367511.81</v>
      </c>
      <c r="AF164" s="76"/>
      <c r="AG164" s="76">
        <v>52685.57</v>
      </c>
      <c r="AH164" s="76"/>
      <c r="AI164" s="76">
        <v>509456.39</v>
      </c>
      <c r="AJ164" s="76"/>
      <c r="AK164" s="76">
        <v>562141.96</v>
      </c>
      <c r="AL164" s="24">
        <f>+'Gen Rev'!AI164-'Gen Exp'!AE164+'Gen Exp'!AI164-AK164</f>
        <v>0</v>
      </c>
      <c r="AM164" s="41" t="str">
        <f>'Gen Rev'!A164</f>
        <v>Creston</v>
      </c>
      <c r="AN164" s="21" t="str">
        <f t="shared" si="17"/>
        <v>Creston</v>
      </c>
      <c r="AO164" s="21" t="b">
        <f t="shared" si="18"/>
        <v>1</v>
      </c>
    </row>
    <row r="165" spans="1:41" s="21" customFormat="1" ht="12" customHeight="1" x14ac:dyDescent="0.2">
      <c r="A165" s="1" t="s">
        <v>274</v>
      </c>
      <c r="B165" s="1"/>
      <c r="C165" s="1" t="s">
        <v>275</v>
      </c>
      <c r="D165" s="1"/>
      <c r="E165" s="76">
        <v>343216</v>
      </c>
      <c r="F165" s="76"/>
      <c r="G165" s="76">
        <v>0</v>
      </c>
      <c r="H165" s="76"/>
      <c r="I165" s="76">
        <v>16150</v>
      </c>
      <c r="J165" s="76"/>
      <c r="K165" s="76">
        <v>6093</v>
      </c>
      <c r="L165" s="76"/>
      <c r="M165" s="76">
        <v>201</v>
      </c>
      <c r="N165" s="76"/>
      <c r="O165" s="76">
        <v>6044</v>
      </c>
      <c r="P165" s="76"/>
      <c r="Q165" s="76">
        <v>178183</v>
      </c>
      <c r="R165" s="76"/>
      <c r="S165" s="76">
        <v>1650</v>
      </c>
      <c r="T165" s="76"/>
      <c r="U165" s="76">
        <v>0</v>
      </c>
      <c r="V165" s="76"/>
      <c r="W165" s="76">
        <v>0</v>
      </c>
      <c r="X165" s="76"/>
      <c r="Y165" s="76">
        <v>23082</v>
      </c>
      <c r="Z165" s="76"/>
      <c r="AA165" s="76">
        <v>0</v>
      </c>
      <c r="AB165" s="76"/>
      <c r="AC165" s="76">
        <v>0</v>
      </c>
      <c r="AD165" s="76"/>
      <c r="AE165" s="76">
        <f t="shared" si="16"/>
        <v>574619</v>
      </c>
      <c r="AF165" s="76"/>
      <c r="AG165" s="76">
        <v>279672</v>
      </c>
      <c r="AH165" s="76"/>
      <c r="AI165" s="76">
        <f>AK165-AG165</f>
        <v>140297</v>
      </c>
      <c r="AJ165" s="76"/>
      <c r="AK165" s="76">
        <v>419969</v>
      </c>
      <c r="AL165" s="24">
        <f>+'Gen Rev'!AI165-'Gen Exp'!AE165+'Gen Exp'!AI165-AK165</f>
        <v>0</v>
      </c>
      <c r="AM165" s="41" t="str">
        <f>'Gen Rev'!A165</f>
        <v>Cridersville</v>
      </c>
      <c r="AN165" s="21" t="str">
        <f t="shared" si="17"/>
        <v>Cridersville</v>
      </c>
      <c r="AO165" s="21" t="b">
        <f t="shared" si="18"/>
        <v>1</v>
      </c>
    </row>
    <row r="166" spans="1:41" s="21" customFormat="1" ht="12" customHeight="1" x14ac:dyDescent="0.2">
      <c r="A166" s="1" t="s">
        <v>499</v>
      </c>
      <c r="B166" s="1"/>
      <c r="C166" s="1" t="s">
        <v>500</v>
      </c>
      <c r="D166" s="1"/>
      <c r="E166" s="76">
        <v>221789</v>
      </c>
      <c r="F166" s="76"/>
      <c r="G166" s="76">
        <v>0</v>
      </c>
      <c r="H166" s="76"/>
      <c r="I166" s="76">
        <v>0</v>
      </c>
      <c r="J166" s="76"/>
      <c r="K166" s="76">
        <v>0</v>
      </c>
      <c r="L166" s="76"/>
      <c r="M166" s="76">
        <v>0</v>
      </c>
      <c r="N166" s="76"/>
      <c r="O166" s="76">
        <v>0</v>
      </c>
      <c r="P166" s="76"/>
      <c r="Q166" s="76">
        <v>174980</v>
      </c>
      <c r="R166" s="76"/>
      <c r="S166" s="76">
        <v>0</v>
      </c>
      <c r="T166" s="76"/>
      <c r="U166" s="76">
        <v>0</v>
      </c>
      <c r="V166" s="76"/>
      <c r="W166" s="76">
        <v>0</v>
      </c>
      <c r="X166" s="76"/>
      <c r="Y166" s="76">
        <v>0</v>
      </c>
      <c r="Z166" s="76"/>
      <c r="AA166" s="76">
        <v>0</v>
      </c>
      <c r="AB166" s="76"/>
      <c r="AC166" s="76">
        <v>14888</v>
      </c>
      <c r="AD166" s="76"/>
      <c r="AE166" s="76">
        <f t="shared" si="16"/>
        <v>411657</v>
      </c>
      <c r="AF166" s="76"/>
      <c r="AG166" s="76">
        <v>12789</v>
      </c>
      <c r="AH166" s="76"/>
      <c r="AI166" s="76">
        <v>39148</v>
      </c>
      <c r="AJ166" s="76"/>
      <c r="AK166" s="76">
        <v>51937</v>
      </c>
      <c r="AL166" s="24">
        <f>+'Gen Rev'!AI166-'Gen Exp'!AE166+'Gen Exp'!AI166-AK166</f>
        <v>0</v>
      </c>
      <c r="AM166" s="41" t="str">
        <f>'Gen Rev'!A166</f>
        <v>Crooksville</v>
      </c>
      <c r="AN166" s="21" t="str">
        <f t="shared" si="17"/>
        <v>Crooksville</v>
      </c>
      <c r="AO166" s="21" t="b">
        <f t="shared" si="18"/>
        <v>1</v>
      </c>
    </row>
    <row r="167" spans="1:41" s="21" customFormat="1" ht="12" customHeight="1" x14ac:dyDescent="0.2">
      <c r="A167" s="1" t="s">
        <v>80</v>
      </c>
      <c r="B167" s="1"/>
      <c r="C167" s="1" t="s">
        <v>760</v>
      </c>
      <c r="D167" s="23"/>
      <c r="E167" s="76">
        <v>23027.39</v>
      </c>
      <c r="F167" s="76"/>
      <c r="G167" s="76">
        <v>2046.02</v>
      </c>
      <c r="H167" s="76"/>
      <c r="I167" s="76">
        <v>0</v>
      </c>
      <c r="J167" s="76"/>
      <c r="K167" s="76">
        <v>0</v>
      </c>
      <c r="L167" s="76"/>
      <c r="M167" s="76">
        <v>0</v>
      </c>
      <c r="N167" s="76"/>
      <c r="O167" s="76">
        <v>0</v>
      </c>
      <c r="P167" s="76"/>
      <c r="Q167" s="76">
        <v>31185.17</v>
      </c>
      <c r="R167" s="76"/>
      <c r="S167" s="76">
        <v>0</v>
      </c>
      <c r="T167" s="76"/>
      <c r="U167" s="76">
        <v>0</v>
      </c>
      <c r="V167" s="76"/>
      <c r="W167" s="76">
        <v>7397</v>
      </c>
      <c r="X167" s="76"/>
      <c r="Y167" s="76">
        <v>400</v>
      </c>
      <c r="Z167" s="76"/>
      <c r="AA167" s="76">
        <v>0</v>
      </c>
      <c r="AB167" s="76"/>
      <c r="AC167" s="76">
        <v>0</v>
      </c>
      <c r="AD167" s="76"/>
      <c r="AE167" s="76">
        <f t="shared" si="16"/>
        <v>64055.58</v>
      </c>
      <c r="AF167" s="76"/>
      <c r="AG167" s="76">
        <v>-6023.78</v>
      </c>
      <c r="AH167" s="76"/>
      <c r="AI167" s="76">
        <v>21507.07</v>
      </c>
      <c r="AJ167" s="76"/>
      <c r="AK167" s="76">
        <v>15483.29</v>
      </c>
      <c r="AL167" s="24">
        <f>+'Gen Rev'!AI167-'Gen Exp'!AE167+'Gen Exp'!AI167-AK167</f>
        <v>0</v>
      </c>
      <c r="AM167" s="41" t="str">
        <f>'Gen Rev'!A167</f>
        <v>Crown City</v>
      </c>
      <c r="AN167" s="21" t="str">
        <f t="shared" si="17"/>
        <v>Crown City</v>
      </c>
      <c r="AO167" s="21" t="b">
        <f t="shared" si="18"/>
        <v>1</v>
      </c>
    </row>
    <row r="168" spans="1:41" ht="12" customHeight="1" x14ac:dyDescent="0.2">
      <c r="A168" s="1" t="s">
        <v>87</v>
      </c>
      <c r="C168" s="1" t="s">
        <v>762</v>
      </c>
      <c r="D168" s="23"/>
      <c r="E168" s="76">
        <v>0</v>
      </c>
      <c r="F168" s="76"/>
      <c r="G168" s="76">
        <v>0</v>
      </c>
      <c r="H168" s="76"/>
      <c r="I168" s="76">
        <v>0</v>
      </c>
      <c r="J168" s="76"/>
      <c r="K168" s="76">
        <v>0</v>
      </c>
      <c r="L168" s="76"/>
      <c r="M168" s="76">
        <v>0</v>
      </c>
      <c r="N168" s="76"/>
      <c r="O168" s="76">
        <v>0</v>
      </c>
      <c r="P168" s="76"/>
      <c r="Q168" s="76">
        <v>46531.03</v>
      </c>
      <c r="R168" s="76"/>
      <c r="S168" s="76">
        <v>0</v>
      </c>
      <c r="T168" s="76"/>
      <c r="U168" s="76">
        <v>0</v>
      </c>
      <c r="V168" s="76"/>
      <c r="W168" s="76">
        <v>0</v>
      </c>
      <c r="X168" s="76"/>
      <c r="Y168" s="76">
        <v>0</v>
      </c>
      <c r="Z168" s="76"/>
      <c r="AA168" s="76">
        <v>10725</v>
      </c>
      <c r="AB168" s="76"/>
      <c r="AC168" s="76">
        <v>0</v>
      </c>
      <c r="AD168" s="76"/>
      <c r="AE168" s="76">
        <f t="shared" si="16"/>
        <v>57256.03</v>
      </c>
      <c r="AF168" s="76"/>
      <c r="AG168" s="76">
        <v>-10404.549999999999</v>
      </c>
      <c r="AH168" s="76"/>
      <c r="AI168" s="76">
        <v>10996.15</v>
      </c>
      <c r="AJ168" s="76"/>
      <c r="AK168" s="76">
        <v>591.6</v>
      </c>
      <c r="AL168" s="24">
        <f>+'Gen Rev'!AI168-'Gen Exp'!AE168+'Gen Exp'!AI168-AK168</f>
        <v>3.979039320256561E-12</v>
      </c>
      <c r="AM168" s="41" t="str">
        <f>'Gen Rev'!A168</f>
        <v>Cumberland</v>
      </c>
      <c r="AN168" s="21" t="str">
        <f t="shared" si="17"/>
        <v>Cumberland</v>
      </c>
      <c r="AO168" s="21" t="b">
        <f t="shared" si="18"/>
        <v>1</v>
      </c>
    </row>
    <row r="169" spans="1:41" s="21" customFormat="1" ht="12" customHeight="1" x14ac:dyDescent="0.2">
      <c r="A169" s="1" t="s">
        <v>254</v>
      </c>
      <c r="B169" s="1"/>
      <c r="C169" s="1" t="s">
        <v>813</v>
      </c>
      <c r="D169" s="23"/>
      <c r="E169" s="76">
        <v>1166.55</v>
      </c>
      <c r="F169" s="76"/>
      <c r="G169" s="76">
        <v>0</v>
      </c>
      <c r="H169" s="76"/>
      <c r="I169" s="76">
        <v>2452.02</v>
      </c>
      <c r="J169" s="76"/>
      <c r="K169" s="76">
        <v>252.51</v>
      </c>
      <c r="L169" s="76"/>
      <c r="M169" s="76">
        <v>0</v>
      </c>
      <c r="N169" s="76"/>
      <c r="O169" s="76">
        <v>0</v>
      </c>
      <c r="P169" s="76"/>
      <c r="Q169" s="76">
        <v>19276.66</v>
      </c>
      <c r="R169" s="76"/>
      <c r="S169" s="76">
        <v>3813.24</v>
      </c>
      <c r="T169" s="76"/>
      <c r="U169" s="76">
        <v>0</v>
      </c>
      <c r="V169" s="76"/>
      <c r="W169" s="76">
        <v>0</v>
      </c>
      <c r="X169" s="76"/>
      <c r="Y169" s="76">
        <v>0</v>
      </c>
      <c r="Z169" s="76"/>
      <c r="AA169" s="76">
        <v>0</v>
      </c>
      <c r="AB169" s="76"/>
      <c r="AC169" s="76">
        <v>90.8</v>
      </c>
      <c r="AD169" s="76"/>
      <c r="AE169" s="76">
        <f t="shared" si="16"/>
        <v>27051.779999999995</v>
      </c>
      <c r="AF169" s="76"/>
      <c r="AG169" s="76">
        <v>-10103.56</v>
      </c>
      <c r="AH169" s="76"/>
      <c r="AI169" s="76">
        <v>55294.22</v>
      </c>
      <c r="AJ169" s="76"/>
      <c r="AK169" s="76">
        <v>45190.66</v>
      </c>
      <c r="AL169" s="24">
        <f>+'Gen Rev'!AI169-'Gen Exp'!AE169+'Gen Exp'!AI169-AK169</f>
        <v>0</v>
      </c>
      <c r="AM169" s="41" t="str">
        <f>'Gen Rev'!A169</f>
        <v>Custar</v>
      </c>
      <c r="AN169" s="21" t="str">
        <f t="shared" si="17"/>
        <v>Custar</v>
      </c>
      <c r="AO169" s="21" t="b">
        <f t="shared" si="18"/>
        <v>1</v>
      </c>
    </row>
    <row r="170" spans="1:41" ht="12" customHeight="1" x14ac:dyDescent="0.2">
      <c r="A170" s="1" t="s">
        <v>909</v>
      </c>
      <c r="C170" s="1" t="s">
        <v>316</v>
      </c>
      <c r="D170" s="23"/>
      <c r="E170" s="76">
        <v>3660418</v>
      </c>
      <c r="F170" s="76"/>
      <c r="G170" s="76">
        <v>21882</v>
      </c>
      <c r="H170" s="76"/>
      <c r="I170" s="76">
        <v>148244</v>
      </c>
      <c r="J170" s="76"/>
      <c r="K170" s="76">
        <v>48252</v>
      </c>
      <c r="L170" s="76"/>
      <c r="M170" s="76">
        <v>39853</v>
      </c>
      <c r="N170" s="76"/>
      <c r="O170" s="76">
        <v>42966</v>
      </c>
      <c r="P170" s="76"/>
      <c r="Q170" s="76">
        <v>3717549</v>
      </c>
      <c r="R170" s="76"/>
      <c r="S170" s="76">
        <v>126582</v>
      </c>
      <c r="T170" s="76"/>
      <c r="U170" s="76">
        <v>0</v>
      </c>
      <c r="V170" s="76"/>
      <c r="W170" s="76">
        <v>0</v>
      </c>
      <c r="X170" s="76"/>
      <c r="Y170" s="76">
        <v>953000</v>
      </c>
      <c r="Z170" s="76"/>
      <c r="AA170" s="76">
        <v>0</v>
      </c>
      <c r="AB170" s="76"/>
      <c r="AC170" s="76">
        <v>0</v>
      </c>
      <c r="AD170" s="76"/>
      <c r="AE170" s="76">
        <f t="shared" si="16"/>
        <v>8758746</v>
      </c>
      <c r="AF170" s="76"/>
      <c r="AG170" s="76">
        <v>481714</v>
      </c>
      <c r="AH170" s="76"/>
      <c r="AI170" s="76">
        <v>2259157</v>
      </c>
      <c r="AJ170" s="76"/>
      <c r="AK170" s="76">
        <v>2740871</v>
      </c>
      <c r="AL170" s="24">
        <f>+'Gen Rev'!AI170-'Gen Exp'!AE170+'Gen Exp'!AI170-AK170</f>
        <v>0</v>
      </c>
      <c r="AM170" s="41" t="str">
        <f>'Gen Rev'!A170</f>
        <v>Cuyahoga Heights</v>
      </c>
      <c r="AN170" s="21" t="str">
        <f t="shared" si="17"/>
        <v>Cuyahoga Heights</v>
      </c>
      <c r="AO170" s="21" t="b">
        <f t="shared" si="18"/>
        <v>1</v>
      </c>
    </row>
    <row r="171" spans="1:41" ht="12" customHeight="1" x14ac:dyDescent="0.2">
      <c r="A171" s="1" t="s">
        <v>830</v>
      </c>
      <c r="C171" s="1" t="s">
        <v>813</v>
      </c>
      <c r="D171" s="23"/>
      <c r="E171" s="76">
        <v>29050.34</v>
      </c>
      <c r="F171" s="76"/>
      <c r="G171" s="76">
        <v>0</v>
      </c>
      <c r="H171" s="76"/>
      <c r="I171" s="76">
        <v>11940.86</v>
      </c>
      <c r="J171" s="76"/>
      <c r="K171" s="76">
        <v>849.43</v>
      </c>
      <c r="L171" s="76"/>
      <c r="M171" s="76">
        <v>192.13</v>
      </c>
      <c r="N171" s="76"/>
      <c r="O171" s="76">
        <v>0</v>
      </c>
      <c r="P171" s="76"/>
      <c r="Q171" s="76">
        <v>137517.64000000001</v>
      </c>
      <c r="R171" s="76"/>
      <c r="S171" s="76">
        <v>0</v>
      </c>
      <c r="T171" s="76"/>
      <c r="U171" s="76">
        <v>0</v>
      </c>
      <c r="V171" s="76"/>
      <c r="W171" s="76">
        <v>0</v>
      </c>
      <c r="X171" s="76"/>
      <c r="Y171" s="76">
        <v>192.13</v>
      </c>
      <c r="Z171" s="76"/>
      <c r="AA171" s="76">
        <v>0</v>
      </c>
      <c r="AB171" s="76"/>
      <c r="AC171" s="76">
        <v>0</v>
      </c>
      <c r="AD171" s="76"/>
      <c r="AE171" s="76">
        <f t="shared" si="16"/>
        <v>179742.53000000003</v>
      </c>
      <c r="AF171" s="76"/>
      <c r="AG171" s="76">
        <v>-33502.47</v>
      </c>
      <c r="AH171" s="76"/>
      <c r="AI171" s="76">
        <v>174149.58</v>
      </c>
      <c r="AJ171" s="76"/>
      <c r="AK171" s="76">
        <v>140647.10999999999</v>
      </c>
      <c r="AL171" s="24">
        <f>+'Gen Rev'!AI171-'Gen Exp'!AE171+'Gen Exp'!AI171-AK171</f>
        <v>0</v>
      </c>
      <c r="AM171" s="41" t="str">
        <f>'Gen Rev'!A171</f>
        <v>Cygnet</v>
      </c>
      <c r="AN171" s="21" t="str">
        <f t="shared" si="17"/>
        <v>Cygnet</v>
      </c>
      <c r="AO171" s="21" t="b">
        <f t="shared" si="18"/>
        <v>1</v>
      </c>
    </row>
    <row r="172" spans="1:41" ht="12" customHeight="1" x14ac:dyDescent="0.2">
      <c r="A172" s="1" t="s">
        <v>591</v>
      </c>
      <c r="C172" s="1" t="s">
        <v>588</v>
      </c>
      <c r="E172" s="76">
        <v>322773</v>
      </c>
      <c r="F172" s="76"/>
      <c r="G172" s="76">
        <v>8984</v>
      </c>
      <c r="H172" s="76"/>
      <c r="I172" s="76">
        <v>7504</v>
      </c>
      <c r="J172" s="76"/>
      <c r="K172" s="76">
        <v>0</v>
      </c>
      <c r="L172" s="76"/>
      <c r="M172" s="76">
        <v>1725</v>
      </c>
      <c r="N172" s="76"/>
      <c r="O172" s="76">
        <v>61154</v>
      </c>
      <c r="P172" s="76"/>
      <c r="Q172" s="76">
        <v>102168</v>
      </c>
      <c r="R172" s="76"/>
      <c r="S172" s="76">
        <v>0</v>
      </c>
      <c r="T172" s="76"/>
      <c r="U172" s="76">
        <v>163268</v>
      </c>
      <c r="V172" s="76"/>
      <c r="W172" s="76">
        <v>1873</v>
      </c>
      <c r="X172" s="76"/>
      <c r="Y172" s="76">
        <v>178569</v>
      </c>
      <c r="Z172" s="76"/>
      <c r="AA172" s="76">
        <v>0</v>
      </c>
      <c r="AB172" s="76"/>
      <c r="AC172" s="76">
        <f>15145-1</f>
        <v>15144</v>
      </c>
      <c r="AD172" s="76"/>
      <c r="AE172" s="76">
        <f t="shared" si="16"/>
        <v>863162</v>
      </c>
      <c r="AF172" s="76"/>
      <c r="AG172" s="76">
        <v>-56448</v>
      </c>
      <c r="AH172" s="76"/>
      <c r="AI172" s="76">
        <v>146902</v>
      </c>
      <c r="AJ172" s="76"/>
      <c r="AK172" s="76">
        <v>90454</v>
      </c>
      <c r="AL172" s="24">
        <f>+'Gen Rev'!AI172-'Gen Exp'!AE172+'Gen Exp'!AI172-AK172</f>
        <v>0</v>
      </c>
      <c r="AM172" s="41" t="str">
        <f>'Gen Rev'!A172</f>
        <v>Dalton</v>
      </c>
      <c r="AN172" s="21" t="str">
        <f t="shared" si="17"/>
        <v>Dalton</v>
      </c>
      <c r="AO172" s="21" t="b">
        <f t="shared" si="18"/>
        <v>1</v>
      </c>
    </row>
    <row r="173" spans="1:41" s="21" customFormat="1" ht="12" customHeight="1" x14ac:dyDescent="0.2">
      <c r="A173" s="1" t="s">
        <v>426</v>
      </c>
      <c r="B173" s="1"/>
      <c r="C173" s="1" t="s">
        <v>427</v>
      </c>
      <c r="D173" s="23"/>
      <c r="E173" s="76">
        <v>16118.26</v>
      </c>
      <c r="F173" s="76"/>
      <c r="G173" s="76">
        <v>529.83000000000004</v>
      </c>
      <c r="H173" s="76"/>
      <c r="I173" s="76">
        <v>500</v>
      </c>
      <c r="J173" s="76"/>
      <c r="K173" s="76">
        <v>3242.76</v>
      </c>
      <c r="L173" s="76"/>
      <c r="M173" s="76">
        <v>0</v>
      </c>
      <c r="N173" s="76"/>
      <c r="O173" s="76">
        <v>0</v>
      </c>
      <c r="P173" s="76"/>
      <c r="Q173" s="76">
        <v>120011.66</v>
      </c>
      <c r="R173" s="76"/>
      <c r="S173" s="76">
        <v>0</v>
      </c>
      <c r="T173" s="76"/>
      <c r="U173" s="76">
        <v>0</v>
      </c>
      <c r="V173" s="76"/>
      <c r="W173" s="76">
        <v>0</v>
      </c>
      <c r="X173" s="76"/>
      <c r="Y173" s="76">
        <v>136220</v>
      </c>
      <c r="Z173" s="76"/>
      <c r="AA173" s="76">
        <v>0</v>
      </c>
      <c r="AB173" s="76"/>
      <c r="AC173" s="76">
        <v>4242.95</v>
      </c>
      <c r="AD173" s="76"/>
      <c r="AE173" s="76">
        <f t="shared" si="16"/>
        <v>280865.46000000002</v>
      </c>
      <c r="AF173" s="76"/>
      <c r="AG173" s="76">
        <v>-27998.04</v>
      </c>
      <c r="AH173" s="76"/>
      <c r="AI173" s="76">
        <v>191744.16</v>
      </c>
      <c r="AJ173" s="76"/>
      <c r="AK173" s="76">
        <v>163746.12</v>
      </c>
      <c r="AL173" s="24">
        <f>+'Gen Rev'!AI173-'Gen Exp'!AE173+'Gen Exp'!AI173-AK173</f>
        <v>0</v>
      </c>
      <c r="AM173" s="41" t="str">
        <f>'Gen Rev'!A173</f>
        <v>Danville</v>
      </c>
      <c r="AN173" s="21" t="str">
        <f t="shared" si="17"/>
        <v>Danville</v>
      </c>
      <c r="AO173" s="21" t="b">
        <f t="shared" si="18"/>
        <v>1</v>
      </c>
    </row>
    <row r="174" spans="1:41" s="21" customFormat="1" ht="12" customHeight="1" x14ac:dyDescent="0.2">
      <c r="A174" s="1" t="s">
        <v>959</v>
      </c>
      <c r="B174" s="1"/>
      <c r="C174" s="1" t="s">
        <v>793</v>
      </c>
      <c r="D174" s="1"/>
      <c r="E174" s="76">
        <v>2400</v>
      </c>
      <c r="F174" s="76"/>
      <c r="G174" s="76">
        <v>0</v>
      </c>
      <c r="H174" s="76"/>
      <c r="I174" s="76">
        <v>849</v>
      </c>
      <c r="J174" s="76"/>
      <c r="K174" s="76">
        <v>0</v>
      </c>
      <c r="L174" s="76"/>
      <c r="M174" s="76">
        <v>0</v>
      </c>
      <c r="N174" s="76"/>
      <c r="O174" s="76">
        <v>0</v>
      </c>
      <c r="P174" s="76"/>
      <c r="Q174" s="76">
        <v>13725</v>
      </c>
      <c r="R174" s="76"/>
      <c r="S174" s="76">
        <v>0</v>
      </c>
      <c r="T174" s="76"/>
      <c r="U174" s="76">
        <v>0</v>
      </c>
      <c r="V174" s="76"/>
      <c r="W174" s="76">
        <v>0</v>
      </c>
      <c r="X174" s="76"/>
      <c r="Y174" s="76">
        <v>0</v>
      </c>
      <c r="Z174" s="76"/>
      <c r="AA174" s="76">
        <v>0</v>
      </c>
      <c r="AB174" s="76"/>
      <c r="AC174" s="76">
        <v>0</v>
      </c>
      <c r="AD174" s="76"/>
      <c r="AE174" s="76">
        <f t="shared" si="16"/>
        <v>16974</v>
      </c>
      <c r="AF174" s="76"/>
      <c r="AG174" s="76">
        <v>1323</v>
      </c>
      <c r="AH174" s="76"/>
      <c r="AI174" s="76">
        <f>AK174-AG174</f>
        <v>53075</v>
      </c>
      <c r="AJ174" s="76"/>
      <c r="AK174" s="76">
        <v>54398</v>
      </c>
      <c r="AL174" s="24">
        <f>+'Gen Rev'!AI174-'Gen Exp'!AE174+'Gen Exp'!AI174-AK174</f>
        <v>0</v>
      </c>
      <c r="AM174" s="41" t="str">
        <f>'Gen Rev'!A174</f>
        <v>Darbyville</v>
      </c>
      <c r="AN174" s="21" t="str">
        <f t="shared" si="17"/>
        <v>Darbyville</v>
      </c>
      <c r="AO174" s="21" t="b">
        <f t="shared" si="18"/>
        <v>1</v>
      </c>
    </row>
    <row r="175" spans="1:41" s="21" customFormat="1" ht="12" customHeight="1" x14ac:dyDescent="0.2">
      <c r="A175" s="15" t="s">
        <v>404</v>
      </c>
      <c r="B175" s="15"/>
      <c r="C175" s="15" t="s">
        <v>403</v>
      </c>
      <c r="D175" s="15"/>
      <c r="E175" s="76">
        <v>600</v>
      </c>
      <c r="F175" s="76"/>
      <c r="G175" s="76">
        <v>0</v>
      </c>
      <c r="H175" s="76"/>
      <c r="I175" s="76">
        <v>0</v>
      </c>
      <c r="J175" s="76"/>
      <c r="K175" s="76">
        <v>0</v>
      </c>
      <c r="L175" s="76"/>
      <c r="M175" s="76">
        <v>1089</v>
      </c>
      <c r="N175" s="76"/>
      <c r="O175" s="76">
        <v>0</v>
      </c>
      <c r="P175" s="76"/>
      <c r="Q175" s="76">
        <f>11887-1</f>
        <v>11886</v>
      </c>
      <c r="R175" s="76"/>
      <c r="S175" s="76">
        <v>0</v>
      </c>
      <c r="T175" s="76"/>
      <c r="U175" s="76">
        <v>0</v>
      </c>
      <c r="V175" s="76"/>
      <c r="W175" s="76">
        <v>0</v>
      </c>
      <c r="X175" s="76"/>
      <c r="Y175" s="76">
        <v>0</v>
      </c>
      <c r="Z175" s="76"/>
      <c r="AA175" s="76">
        <v>0</v>
      </c>
      <c r="AB175" s="76"/>
      <c r="AC175" s="76">
        <v>0</v>
      </c>
      <c r="AD175" s="76"/>
      <c r="AE175" s="76">
        <f t="shared" si="16"/>
        <v>13575</v>
      </c>
      <c r="AF175" s="76"/>
      <c r="AG175" s="76">
        <v>2986</v>
      </c>
      <c r="AH175" s="76"/>
      <c r="AI175" s="76">
        <v>19550</v>
      </c>
      <c r="AJ175" s="76"/>
      <c r="AK175" s="76">
        <v>22536</v>
      </c>
      <c r="AL175" s="24">
        <f>+'Gen Rev'!AI175-'Gen Exp'!AE175+'Gen Exp'!AI175-AK175</f>
        <v>0</v>
      </c>
      <c r="AM175" s="41" t="str">
        <f>'Gen Rev'!A175</f>
        <v>Deersville</v>
      </c>
      <c r="AN175" s="21" t="str">
        <f t="shared" si="17"/>
        <v>Deersville</v>
      </c>
      <c r="AO175" s="21" t="b">
        <f t="shared" si="18"/>
        <v>1</v>
      </c>
    </row>
    <row r="176" spans="1:41" s="31" customFormat="1" ht="12" customHeight="1" x14ac:dyDescent="0.2">
      <c r="A176" s="1" t="s">
        <v>445</v>
      </c>
      <c r="B176" s="1"/>
      <c r="C176" s="1" t="s">
        <v>446</v>
      </c>
      <c r="D176" s="1"/>
      <c r="E176" s="76">
        <v>70176.69</v>
      </c>
      <c r="F176" s="76"/>
      <c r="G176" s="76">
        <v>0</v>
      </c>
      <c r="H176" s="76"/>
      <c r="I176" s="76">
        <v>3653.32</v>
      </c>
      <c r="J176" s="76"/>
      <c r="K176" s="76">
        <v>4627.05</v>
      </c>
      <c r="L176" s="76"/>
      <c r="M176" s="76">
        <v>0</v>
      </c>
      <c r="N176" s="76"/>
      <c r="O176" s="76">
        <v>35700.25</v>
      </c>
      <c r="P176" s="76"/>
      <c r="Q176" s="76">
        <v>115929.83</v>
      </c>
      <c r="R176" s="76"/>
      <c r="S176" s="76">
        <v>0</v>
      </c>
      <c r="T176" s="76"/>
      <c r="U176" s="76">
        <v>1333.33</v>
      </c>
      <c r="V176" s="76"/>
      <c r="W176" s="76">
        <v>958.38</v>
      </c>
      <c r="X176" s="76"/>
      <c r="Y176" s="76">
        <v>21058</v>
      </c>
      <c r="Z176" s="76"/>
      <c r="AA176" s="76">
        <v>0</v>
      </c>
      <c r="AB176" s="76"/>
      <c r="AC176" s="76">
        <v>0</v>
      </c>
      <c r="AD176" s="76"/>
      <c r="AE176" s="76">
        <f t="shared" si="16"/>
        <v>253436.85</v>
      </c>
      <c r="AF176" s="76"/>
      <c r="AG176" s="76">
        <v>4799.09</v>
      </c>
      <c r="AH176" s="76"/>
      <c r="AI176" s="76">
        <v>4990.8900000000003</v>
      </c>
      <c r="AJ176" s="76"/>
      <c r="AK176" s="76">
        <v>9789.98</v>
      </c>
      <c r="AL176" s="24">
        <f>+'Gen Rev'!AI176-'Gen Exp'!AE176+'Gen Exp'!AI176-AK176</f>
        <v>-6.184563972055912E-11</v>
      </c>
      <c r="AM176" s="41" t="str">
        <f>'Gen Rev'!A176</f>
        <v>DeGraff</v>
      </c>
      <c r="AN176" s="21" t="str">
        <f t="shared" si="17"/>
        <v>DeGraff</v>
      </c>
      <c r="AO176" s="21" t="b">
        <f t="shared" si="18"/>
        <v>1</v>
      </c>
    </row>
    <row r="177" spans="1:41" s="19" customFormat="1" ht="12" customHeight="1" x14ac:dyDescent="0.2">
      <c r="A177" s="1" t="s">
        <v>28</v>
      </c>
      <c r="B177" s="1"/>
      <c r="C177" s="1" t="s">
        <v>744</v>
      </c>
      <c r="D177" s="23"/>
      <c r="E177" s="76">
        <v>14023.43</v>
      </c>
      <c r="F177" s="76"/>
      <c r="G177" s="76">
        <v>2100</v>
      </c>
      <c r="H177" s="76"/>
      <c r="I177" s="76">
        <v>0</v>
      </c>
      <c r="J177" s="76"/>
      <c r="K177" s="76">
        <v>383.4</v>
      </c>
      <c r="L177" s="76"/>
      <c r="M177" s="76">
        <v>0</v>
      </c>
      <c r="N177" s="76"/>
      <c r="O177" s="76">
        <v>0</v>
      </c>
      <c r="P177" s="76"/>
      <c r="Q177" s="76">
        <v>42002.93</v>
      </c>
      <c r="R177" s="76"/>
      <c r="S177" s="76">
        <v>21133.759999999998</v>
      </c>
      <c r="T177" s="76"/>
      <c r="U177" s="76">
        <v>4979.8500000000004</v>
      </c>
      <c r="V177" s="76"/>
      <c r="W177" s="76">
        <v>361.11</v>
      </c>
      <c r="X177" s="76"/>
      <c r="Y177" s="76">
        <v>0</v>
      </c>
      <c r="Z177" s="76"/>
      <c r="AA177" s="76">
        <v>0</v>
      </c>
      <c r="AB177" s="76"/>
      <c r="AC177" s="76">
        <v>0</v>
      </c>
      <c r="AD177" s="76"/>
      <c r="AE177" s="76">
        <f t="shared" si="16"/>
        <v>84984.48000000001</v>
      </c>
      <c r="AF177" s="76"/>
      <c r="AG177" s="76">
        <v>-15740.11</v>
      </c>
      <c r="AH177" s="76"/>
      <c r="AI177" s="76">
        <v>62226.73</v>
      </c>
      <c r="AJ177" s="76"/>
      <c r="AK177" s="76">
        <v>46486.62</v>
      </c>
      <c r="AL177" s="24">
        <f>+'Gen Rev'!AI177-'Gen Exp'!AE177+'Gen Exp'!AI177-AK177</f>
        <v>0</v>
      </c>
      <c r="AM177" s="41" t="str">
        <f>'Gen Rev'!A177</f>
        <v>Dellroy</v>
      </c>
      <c r="AN177" s="21" t="str">
        <f t="shared" si="17"/>
        <v>Dellroy</v>
      </c>
      <c r="AO177" s="21" t="b">
        <f t="shared" si="18"/>
        <v>1</v>
      </c>
    </row>
    <row r="178" spans="1:41" ht="12" customHeight="1" x14ac:dyDescent="0.2">
      <c r="A178" s="15" t="s">
        <v>359</v>
      </c>
      <c r="B178" s="15"/>
      <c r="C178" s="15" t="s">
        <v>358</v>
      </c>
      <c r="D178" s="15"/>
      <c r="E178" s="76">
        <v>574936</v>
      </c>
      <c r="F178" s="76"/>
      <c r="G178" s="76">
        <v>39017</v>
      </c>
      <c r="H178" s="76"/>
      <c r="I178" s="76">
        <v>0</v>
      </c>
      <c r="J178" s="76"/>
      <c r="K178" s="76">
        <v>3951</v>
      </c>
      <c r="L178" s="76"/>
      <c r="M178" s="76">
        <v>70776</v>
      </c>
      <c r="N178" s="76"/>
      <c r="O178" s="76">
        <v>35374</v>
      </c>
      <c r="P178" s="76"/>
      <c r="Q178" s="76">
        <f>183432+1</f>
        <v>183433</v>
      </c>
      <c r="R178" s="76"/>
      <c r="S178" s="76">
        <v>0</v>
      </c>
      <c r="T178" s="76"/>
      <c r="U178" s="76">
        <v>0</v>
      </c>
      <c r="V178" s="76"/>
      <c r="W178" s="76">
        <v>0</v>
      </c>
      <c r="X178" s="76"/>
      <c r="Y178" s="76">
        <v>0</v>
      </c>
      <c r="Z178" s="76"/>
      <c r="AA178" s="76">
        <v>0</v>
      </c>
      <c r="AB178" s="76"/>
      <c r="AC178" s="76">
        <v>0</v>
      </c>
      <c r="AD178" s="76"/>
      <c r="AE178" s="76">
        <f t="shared" si="16"/>
        <v>907487</v>
      </c>
      <c r="AF178" s="76"/>
      <c r="AG178" s="76">
        <v>-124721</v>
      </c>
      <c r="AH178" s="76"/>
      <c r="AI178" s="76">
        <v>269012</v>
      </c>
      <c r="AJ178" s="76"/>
      <c r="AK178" s="76">
        <v>144291</v>
      </c>
      <c r="AL178" s="24">
        <f>+'Gen Rev'!AI178-'Gen Exp'!AE178+'Gen Exp'!AI178-AK178</f>
        <v>0</v>
      </c>
      <c r="AM178" s="41" t="str">
        <f>'Gen Rev'!A178</f>
        <v>Delta</v>
      </c>
      <c r="AN178" s="21" t="str">
        <f t="shared" si="17"/>
        <v>Delta</v>
      </c>
      <c r="AO178" s="21" t="b">
        <f t="shared" si="18"/>
        <v>1</v>
      </c>
    </row>
    <row r="179" spans="1:41" s="31" customFormat="1" ht="12" customHeight="1" x14ac:dyDescent="0.2">
      <c r="A179" s="1" t="s">
        <v>232</v>
      </c>
      <c r="B179" s="1"/>
      <c r="C179" s="1" t="s">
        <v>806</v>
      </c>
      <c r="D179" s="23"/>
      <c r="E179" s="76">
        <v>588647.54</v>
      </c>
      <c r="F179" s="76"/>
      <c r="G179" s="76">
        <v>0</v>
      </c>
      <c r="H179" s="76"/>
      <c r="I179" s="76">
        <v>52120.1</v>
      </c>
      <c r="J179" s="76"/>
      <c r="K179" s="76">
        <v>13847.3</v>
      </c>
      <c r="L179" s="76"/>
      <c r="M179" s="76">
        <v>22301.29</v>
      </c>
      <c r="N179" s="76"/>
      <c r="O179" s="76">
        <v>0</v>
      </c>
      <c r="P179" s="76"/>
      <c r="Q179" s="76">
        <v>238679.14</v>
      </c>
      <c r="R179" s="76"/>
      <c r="S179" s="76">
        <v>0</v>
      </c>
      <c r="T179" s="76"/>
      <c r="U179" s="76">
        <v>191294.68</v>
      </c>
      <c r="V179" s="76"/>
      <c r="W179" s="76">
        <v>8679.82</v>
      </c>
      <c r="X179" s="76"/>
      <c r="Y179" s="76">
        <v>0</v>
      </c>
      <c r="Z179" s="76"/>
      <c r="AA179" s="76">
        <v>0</v>
      </c>
      <c r="AB179" s="76"/>
      <c r="AC179" s="76">
        <v>0</v>
      </c>
      <c r="AD179" s="76"/>
      <c r="AE179" s="76">
        <f t="shared" si="16"/>
        <v>1115569.8700000001</v>
      </c>
      <c r="AF179" s="76"/>
      <c r="AG179" s="76">
        <v>67525.64</v>
      </c>
      <c r="AH179" s="76"/>
      <c r="AI179" s="76">
        <v>369281.87</v>
      </c>
      <c r="AJ179" s="76"/>
      <c r="AK179" s="76">
        <v>436807.51</v>
      </c>
      <c r="AL179" s="24">
        <f>+'Gen Rev'!AI179-'Gen Exp'!AE179+'Gen Exp'!AI179-AK179</f>
        <v>0</v>
      </c>
      <c r="AM179" s="41" t="str">
        <f>'Gen Rev'!A179</f>
        <v>Dennison</v>
      </c>
      <c r="AN179" s="21" t="str">
        <f t="shared" si="17"/>
        <v>Dennison</v>
      </c>
      <c r="AO179" s="21" t="b">
        <f t="shared" si="18"/>
        <v>1</v>
      </c>
    </row>
    <row r="180" spans="1:41" ht="12" customHeight="1" x14ac:dyDescent="0.2">
      <c r="A180" s="1" t="s">
        <v>104</v>
      </c>
      <c r="C180" s="1" t="s">
        <v>766</v>
      </c>
      <c r="E180" s="76">
        <v>165807.76999999999</v>
      </c>
      <c r="F180" s="76"/>
      <c r="G180" s="76">
        <v>6000</v>
      </c>
      <c r="H180" s="76"/>
      <c r="I180" s="76">
        <v>7497.66</v>
      </c>
      <c r="J180" s="76"/>
      <c r="K180" s="76">
        <v>7317.28</v>
      </c>
      <c r="L180" s="76"/>
      <c r="M180" s="76">
        <v>1344.45</v>
      </c>
      <c r="N180" s="76"/>
      <c r="O180" s="76">
        <v>1000</v>
      </c>
      <c r="P180" s="76"/>
      <c r="Q180" s="76">
        <v>76496.149999999994</v>
      </c>
      <c r="R180" s="76"/>
      <c r="S180" s="76">
        <v>40836.25</v>
      </c>
      <c r="T180" s="76"/>
      <c r="U180" s="76">
        <v>0</v>
      </c>
      <c r="V180" s="76"/>
      <c r="W180" s="76">
        <v>0</v>
      </c>
      <c r="X180" s="76"/>
      <c r="Y180" s="76">
        <v>64760.22</v>
      </c>
      <c r="Z180" s="76"/>
      <c r="AA180" s="76">
        <v>0</v>
      </c>
      <c r="AB180" s="76"/>
      <c r="AC180" s="76">
        <v>0</v>
      </c>
      <c r="AD180" s="76"/>
      <c r="AE180" s="76">
        <f t="shared" si="16"/>
        <v>371059.78</v>
      </c>
      <c r="AF180" s="76"/>
      <c r="AG180" s="76">
        <v>-2488.71</v>
      </c>
      <c r="AH180" s="76"/>
      <c r="AI180" s="76">
        <v>3263.81</v>
      </c>
      <c r="AJ180" s="76"/>
      <c r="AK180" s="76">
        <v>775.1</v>
      </c>
      <c r="AL180" s="24">
        <f>+'Gen Rev'!AI180-'Gen Exp'!AE180+'Gen Exp'!AI180-AK180</f>
        <v>-2.1032064978498966E-11</v>
      </c>
      <c r="AM180" s="41" t="str">
        <f>'Gen Rev'!A180</f>
        <v>Deshler</v>
      </c>
      <c r="AN180" s="21" t="str">
        <f t="shared" si="17"/>
        <v>Deshler</v>
      </c>
      <c r="AO180" s="21" t="b">
        <f t="shared" si="18"/>
        <v>1</v>
      </c>
    </row>
    <row r="181" spans="1:41" ht="12" hidden="1" customHeight="1" x14ac:dyDescent="0.2">
      <c r="A181" s="1" t="s">
        <v>492</v>
      </c>
      <c r="C181" s="1" t="s">
        <v>490</v>
      </c>
      <c r="D181" s="21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>
        <f t="shared" si="16"/>
        <v>0</v>
      </c>
      <c r="AF181" s="76"/>
      <c r="AG181" s="76"/>
      <c r="AH181" s="76"/>
      <c r="AI181" s="76"/>
      <c r="AJ181" s="76"/>
      <c r="AK181" s="76"/>
      <c r="AL181" s="24">
        <f>+'Gen Rev'!AI181-'Gen Exp'!AE181+'Gen Exp'!AI181-AK181</f>
        <v>0</v>
      </c>
      <c r="AM181" s="41" t="str">
        <f>'Gen Rev'!A181</f>
        <v>Dexter City</v>
      </c>
      <c r="AN181" s="21" t="str">
        <f t="shared" si="17"/>
        <v>Dexter City</v>
      </c>
      <c r="AO181" s="21" t="b">
        <f t="shared" si="18"/>
        <v>1</v>
      </c>
    </row>
    <row r="182" spans="1:41" s="21" customFormat="1" ht="12" customHeight="1" x14ac:dyDescent="0.2">
      <c r="A182" s="1" t="s">
        <v>116</v>
      </c>
      <c r="B182" s="1"/>
      <c r="C182" s="1" t="s">
        <v>770</v>
      </c>
      <c r="D182" s="24"/>
      <c r="E182" s="76">
        <v>32488.09</v>
      </c>
      <c r="F182" s="76"/>
      <c r="G182" s="76">
        <v>2000</v>
      </c>
      <c r="H182" s="76"/>
      <c r="I182" s="76">
        <v>11174.55</v>
      </c>
      <c r="J182" s="76"/>
      <c r="K182" s="76">
        <v>0</v>
      </c>
      <c r="L182" s="76"/>
      <c r="M182" s="76">
        <v>0</v>
      </c>
      <c r="N182" s="76"/>
      <c r="O182" s="76">
        <v>4583.9399999999996</v>
      </c>
      <c r="P182" s="76"/>
      <c r="Q182" s="76">
        <v>46943.37</v>
      </c>
      <c r="R182" s="76"/>
      <c r="S182" s="76">
        <v>19245</v>
      </c>
      <c r="T182" s="76"/>
      <c r="U182" s="76">
        <v>1847.06</v>
      </c>
      <c r="V182" s="76"/>
      <c r="W182" s="76">
        <v>376.63</v>
      </c>
      <c r="X182" s="76"/>
      <c r="Y182" s="76">
        <v>948.57</v>
      </c>
      <c r="Z182" s="76"/>
      <c r="AA182" s="76">
        <v>4125</v>
      </c>
      <c r="AB182" s="76"/>
      <c r="AC182" s="76">
        <v>0</v>
      </c>
      <c r="AD182" s="76"/>
      <c r="AE182" s="76">
        <f t="shared" si="16"/>
        <v>123732.21000000002</v>
      </c>
      <c r="AF182" s="76"/>
      <c r="AG182" s="76">
        <v>250927.21</v>
      </c>
      <c r="AH182" s="76"/>
      <c r="AI182" s="76">
        <v>19096.11</v>
      </c>
      <c r="AJ182" s="76"/>
      <c r="AK182" s="76">
        <v>270023.32</v>
      </c>
      <c r="AL182" s="24">
        <f>+'Gen Rev'!AI182-'Gen Exp'!AE182+'Gen Exp'!AI182-AK182</f>
        <v>0</v>
      </c>
      <c r="AM182" s="41" t="str">
        <f>'Gen Rev'!A182</f>
        <v>Dillonvale</v>
      </c>
      <c r="AN182" s="21" t="str">
        <f t="shared" si="17"/>
        <v>Dillonvale</v>
      </c>
      <c r="AO182" s="21" t="b">
        <f t="shared" si="18"/>
        <v>1</v>
      </c>
    </row>
    <row r="183" spans="1:41" s="21" customFormat="1" ht="12" customHeight="1" x14ac:dyDescent="0.2">
      <c r="A183" s="1" t="s">
        <v>816</v>
      </c>
      <c r="B183" s="1"/>
      <c r="C183" s="1" t="s">
        <v>292</v>
      </c>
      <c r="D183" s="23"/>
      <c r="E183" s="76">
        <v>15916.79</v>
      </c>
      <c r="F183" s="76"/>
      <c r="G183" s="76">
        <v>0</v>
      </c>
      <c r="H183" s="76"/>
      <c r="I183" s="76">
        <v>0</v>
      </c>
      <c r="J183" s="76"/>
      <c r="K183" s="76">
        <v>0</v>
      </c>
      <c r="L183" s="76"/>
      <c r="M183" s="76">
        <v>0</v>
      </c>
      <c r="N183" s="76"/>
      <c r="O183" s="76">
        <v>0</v>
      </c>
      <c r="P183" s="76"/>
      <c r="Q183" s="76">
        <v>35162.67</v>
      </c>
      <c r="R183" s="76"/>
      <c r="S183" s="76">
        <v>0</v>
      </c>
      <c r="T183" s="76"/>
      <c r="U183" s="76">
        <v>0</v>
      </c>
      <c r="V183" s="76"/>
      <c r="W183" s="76">
        <v>0</v>
      </c>
      <c r="X183" s="76"/>
      <c r="Y183" s="76">
        <v>0</v>
      </c>
      <c r="Z183" s="76"/>
      <c r="AA183" s="76">
        <v>0</v>
      </c>
      <c r="AB183" s="76"/>
      <c r="AC183" s="76">
        <v>0</v>
      </c>
      <c r="AD183" s="76"/>
      <c r="AE183" s="76">
        <f t="shared" ref="AE183:AE219" si="19">SUM(E183:AC183)</f>
        <v>51079.46</v>
      </c>
      <c r="AF183" s="76"/>
      <c r="AG183" s="76">
        <v>12522.34</v>
      </c>
      <c r="AH183" s="76"/>
      <c r="AI183" s="76">
        <v>147166.20000000001</v>
      </c>
      <c r="AJ183" s="76"/>
      <c r="AK183" s="76">
        <v>159688.54</v>
      </c>
      <c r="AL183" s="24">
        <f>+'Gen Rev'!AI183-'Gen Exp'!AE183+'Gen Exp'!AI183-AK183</f>
        <v>0</v>
      </c>
      <c r="AM183" s="41" t="str">
        <f>'Gen Rev'!A183</f>
        <v>Donnelsville</v>
      </c>
      <c r="AN183" s="21" t="str">
        <f t="shared" ref="AN183:AN219" si="20">A183</f>
        <v>Donnelsville</v>
      </c>
      <c r="AO183" s="21" t="b">
        <f t="shared" ref="AO183:AO214" si="21">AM183=AN183</f>
        <v>1</v>
      </c>
    </row>
    <row r="184" spans="1:41" s="21" customFormat="1" ht="12" customHeight="1" x14ac:dyDescent="0.2">
      <c r="A184" s="1" t="s">
        <v>592</v>
      </c>
      <c r="B184" s="1"/>
      <c r="C184" s="1" t="s">
        <v>588</v>
      </c>
      <c r="D184" s="23"/>
      <c r="E184" s="76">
        <v>537673.41</v>
      </c>
      <c r="F184" s="76"/>
      <c r="G184" s="76">
        <v>0</v>
      </c>
      <c r="H184" s="76"/>
      <c r="I184" s="76">
        <v>67249.48</v>
      </c>
      <c r="J184" s="76"/>
      <c r="K184" s="76">
        <v>33900.620000000003</v>
      </c>
      <c r="L184" s="76"/>
      <c r="M184" s="76">
        <v>0</v>
      </c>
      <c r="N184" s="76"/>
      <c r="O184" s="76">
        <v>0</v>
      </c>
      <c r="P184" s="76"/>
      <c r="Q184" s="76">
        <v>308668.90999999997</v>
      </c>
      <c r="R184" s="76"/>
      <c r="S184" s="76">
        <v>0</v>
      </c>
      <c r="T184" s="76"/>
      <c r="U184" s="76">
        <v>0</v>
      </c>
      <c r="V184" s="76"/>
      <c r="W184" s="76">
        <v>0</v>
      </c>
      <c r="X184" s="76"/>
      <c r="Y184" s="76">
        <v>136700</v>
      </c>
      <c r="Z184" s="76"/>
      <c r="AA184" s="76">
        <v>0</v>
      </c>
      <c r="AB184" s="76"/>
      <c r="AC184" s="76">
        <v>0</v>
      </c>
      <c r="AD184" s="76"/>
      <c r="AE184" s="76">
        <f t="shared" si="19"/>
        <v>1084192.42</v>
      </c>
      <c r="AF184" s="76"/>
      <c r="AG184" s="76">
        <v>-24303.18</v>
      </c>
      <c r="AH184" s="76"/>
      <c r="AI184" s="76">
        <v>416219.59</v>
      </c>
      <c r="AJ184" s="76"/>
      <c r="AK184" s="76">
        <v>391916.41</v>
      </c>
      <c r="AL184" s="24">
        <f>+'Gen Rev'!AI184-'Gen Exp'!AE184+'Gen Exp'!AI184-AK184</f>
        <v>0</v>
      </c>
      <c r="AM184" s="41" t="str">
        <f>'Gen Rev'!A184</f>
        <v>Doylestown</v>
      </c>
      <c r="AN184" s="21" t="str">
        <f t="shared" si="20"/>
        <v>Doylestown</v>
      </c>
      <c r="AO184" s="21" t="b">
        <f t="shared" si="21"/>
        <v>1</v>
      </c>
    </row>
    <row r="185" spans="1:41" s="21" customFormat="1" ht="12" customHeight="1" x14ac:dyDescent="0.2">
      <c r="A185" s="1" t="s">
        <v>174</v>
      </c>
      <c r="B185" s="1"/>
      <c r="C185" s="1" t="s">
        <v>789</v>
      </c>
      <c r="D185" s="23"/>
      <c r="E185" s="76">
        <v>218725.36</v>
      </c>
      <c r="F185" s="76"/>
      <c r="G185" s="76">
        <v>0</v>
      </c>
      <c r="H185" s="76"/>
      <c r="I185" s="76">
        <v>0</v>
      </c>
      <c r="J185" s="76"/>
      <c r="K185" s="76">
        <v>0</v>
      </c>
      <c r="L185" s="76"/>
      <c r="M185" s="76">
        <v>0</v>
      </c>
      <c r="N185" s="76"/>
      <c r="O185" s="76">
        <v>0</v>
      </c>
      <c r="P185" s="76"/>
      <c r="Q185" s="76">
        <v>109467.03</v>
      </c>
      <c r="R185" s="76"/>
      <c r="S185" s="76">
        <v>0</v>
      </c>
      <c r="T185" s="76"/>
      <c r="U185" s="76">
        <v>0</v>
      </c>
      <c r="V185" s="76"/>
      <c r="W185" s="76">
        <v>0</v>
      </c>
      <c r="X185" s="76"/>
      <c r="Y185" s="76">
        <v>3000</v>
      </c>
      <c r="Z185" s="76"/>
      <c r="AA185" s="76">
        <v>0</v>
      </c>
      <c r="AB185" s="76"/>
      <c r="AC185" s="76">
        <v>936</v>
      </c>
      <c r="AD185" s="76"/>
      <c r="AE185" s="76">
        <f t="shared" si="19"/>
        <v>332128.39</v>
      </c>
      <c r="AF185" s="76"/>
      <c r="AG185" s="76">
        <v>3396.51</v>
      </c>
      <c r="AH185" s="76"/>
      <c r="AI185" s="76">
        <v>2537.35</v>
      </c>
      <c r="AJ185" s="76"/>
      <c r="AK185" s="76">
        <v>5933.86</v>
      </c>
      <c r="AL185" s="24">
        <f>+'Gen Rev'!AI185-'Gen Exp'!AE185+'Gen Exp'!AI185-AK185</f>
        <v>-4.8203219193965197E-11</v>
      </c>
      <c r="AM185" s="41" t="str">
        <f>'Gen Rev'!A185</f>
        <v>Dresden</v>
      </c>
      <c r="AN185" s="21" t="str">
        <f t="shared" si="20"/>
        <v>Dresden</v>
      </c>
      <c r="AO185" s="21" t="b">
        <f t="shared" si="21"/>
        <v>1</v>
      </c>
    </row>
    <row r="186" spans="1:41" ht="12" customHeight="1" x14ac:dyDescent="0.2">
      <c r="A186" s="1" t="s">
        <v>397</v>
      </c>
      <c r="C186" s="1" t="s">
        <v>396</v>
      </c>
      <c r="D186" s="23"/>
      <c r="E186" s="76">
        <v>12197.31</v>
      </c>
      <c r="F186" s="76"/>
      <c r="G186" s="76">
        <v>6639.75</v>
      </c>
      <c r="H186" s="76"/>
      <c r="I186" s="76">
        <v>121933.45</v>
      </c>
      <c r="J186" s="76"/>
      <c r="K186" s="76">
        <v>6511.89</v>
      </c>
      <c r="L186" s="76"/>
      <c r="M186" s="76">
        <v>608</v>
      </c>
      <c r="N186" s="76"/>
      <c r="O186" s="76">
        <v>2764.03</v>
      </c>
      <c r="P186" s="76"/>
      <c r="Q186" s="76">
        <v>87379.36</v>
      </c>
      <c r="R186" s="76"/>
      <c r="S186" s="76">
        <v>0</v>
      </c>
      <c r="T186" s="76"/>
      <c r="U186" s="76">
        <v>0</v>
      </c>
      <c r="V186" s="76"/>
      <c r="W186" s="76">
        <v>0</v>
      </c>
      <c r="X186" s="76"/>
      <c r="Y186" s="76">
        <v>0</v>
      </c>
      <c r="Z186" s="76"/>
      <c r="AA186" s="76">
        <v>0</v>
      </c>
      <c r="AB186" s="76"/>
      <c r="AC186" s="76">
        <v>53.21</v>
      </c>
      <c r="AD186" s="76"/>
      <c r="AE186" s="76">
        <f t="shared" si="19"/>
        <v>238087.00000000003</v>
      </c>
      <c r="AF186" s="76"/>
      <c r="AG186" s="76">
        <v>-6052.8</v>
      </c>
      <c r="AH186" s="76"/>
      <c r="AI186" s="76">
        <v>141058</v>
      </c>
      <c r="AJ186" s="76"/>
      <c r="AK186" s="76">
        <v>135005.20000000001</v>
      </c>
      <c r="AL186" s="24">
        <f>+'Gen Rev'!AI186-'Gen Exp'!AE186+'Gen Exp'!AI186-AK186</f>
        <v>0</v>
      </c>
      <c r="AM186" s="41" t="str">
        <f>'Gen Rev'!A186</f>
        <v>Dunkirk</v>
      </c>
      <c r="AN186" s="21" t="str">
        <f t="shared" si="20"/>
        <v>Dunkirk</v>
      </c>
      <c r="AO186" s="21" t="b">
        <f t="shared" si="21"/>
        <v>1</v>
      </c>
    </row>
    <row r="187" spans="1:41" s="21" customFormat="1" ht="12" customHeight="1" x14ac:dyDescent="0.2">
      <c r="A187" s="1" t="s">
        <v>203</v>
      </c>
      <c r="B187" s="1"/>
      <c r="C187" s="1" t="s">
        <v>797</v>
      </c>
      <c r="D187" s="1"/>
      <c r="E187" s="76">
        <v>4902.96</v>
      </c>
      <c r="F187" s="76"/>
      <c r="G187" s="76">
        <v>474.76</v>
      </c>
      <c r="H187" s="76"/>
      <c r="I187" s="76">
        <v>922.08</v>
      </c>
      <c r="J187" s="76"/>
      <c r="K187" s="76">
        <v>0</v>
      </c>
      <c r="L187" s="76"/>
      <c r="M187" s="76">
        <v>565.88</v>
      </c>
      <c r="N187" s="76"/>
      <c r="O187" s="76">
        <v>0</v>
      </c>
      <c r="P187" s="76"/>
      <c r="Q187" s="76">
        <v>46614.64</v>
      </c>
      <c r="R187" s="76"/>
      <c r="S187" s="76">
        <v>0</v>
      </c>
      <c r="T187" s="76"/>
      <c r="U187" s="76">
        <v>0</v>
      </c>
      <c r="V187" s="76"/>
      <c r="W187" s="76">
        <v>0</v>
      </c>
      <c r="X187" s="76"/>
      <c r="Y187" s="76">
        <v>0</v>
      </c>
      <c r="Z187" s="76"/>
      <c r="AA187" s="76">
        <v>0</v>
      </c>
      <c r="AB187" s="76"/>
      <c r="AC187" s="76">
        <v>0</v>
      </c>
      <c r="AD187" s="76"/>
      <c r="AE187" s="76">
        <f t="shared" si="19"/>
        <v>53480.32</v>
      </c>
      <c r="AF187" s="76"/>
      <c r="AG187" s="76">
        <v>-2991.75</v>
      </c>
      <c r="AH187" s="76"/>
      <c r="AI187" s="76">
        <v>27333.9</v>
      </c>
      <c r="AJ187" s="76"/>
      <c r="AK187" s="76">
        <v>24342.15</v>
      </c>
      <c r="AL187" s="24">
        <f>+'Gen Rev'!AI187-'Gen Exp'!AE187+'Gen Exp'!AI187-AK187</f>
        <v>0</v>
      </c>
      <c r="AM187" s="41" t="str">
        <f>'Gen Rev'!A187</f>
        <v>Dupont</v>
      </c>
      <c r="AN187" s="21" t="str">
        <f t="shared" si="20"/>
        <v>Dupont</v>
      </c>
      <c r="AO187" s="21" t="b">
        <f t="shared" si="21"/>
        <v>1</v>
      </c>
    </row>
    <row r="188" spans="1:41" ht="12" customHeight="1" x14ac:dyDescent="0.2">
      <c r="A188" s="1" t="s">
        <v>542</v>
      </c>
      <c r="C188" s="1" t="s">
        <v>540</v>
      </c>
      <c r="E188" s="76">
        <v>248783.32</v>
      </c>
      <c r="F188" s="76"/>
      <c r="G188" s="76">
        <v>6294</v>
      </c>
      <c r="H188" s="76"/>
      <c r="I188" s="76">
        <v>4939.34</v>
      </c>
      <c r="J188" s="76"/>
      <c r="K188" s="76">
        <v>2900.78</v>
      </c>
      <c r="L188" s="76"/>
      <c r="M188" s="76">
        <v>0</v>
      </c>
      <c r="N188" s="76"/>
      <c r="O188" s="76">
        <v>25000</v>
      </c>
      <c r="P188" s="76"/>
      <c r="Q188" s="76">
        <v>181462.38</v>
      </c>
      <c r="R188" s="76"/>
      <c r="S188" s="76">
        <v>0</v>
      </c>
      <c r="T188" s="76"/>
      <c r="U188" s="76">
        <v>0</v>
      </c>
      <c r="V188" s="76"/>
      <c r="W188" s="76">
        <v>0</v>
      </c>
      <c r="X188" s="76"/>
      <c r="Y188" s="76">
        <v>10000</v>
      </c>
      <c r="Z188" s="76"/>
      <c r="AA188" s="76">
        <v>0</v>
      </c>
      <c r="AB188" s="76"/>
      <c r="AC188" s="76">
        <v>0</v>
      </c>
      <c r="AD188" s="76"/>
      <c r="AE188" s="76">
        <f t="shared" si="19"/>
        <v>479379.82</v>
      </c>
      <c r="AF188" s="76"/>
      <c r="AG188" s="76">
        <v>-19309.52</v>
      </c>
      <c r="AH188" s="76"/>
      <c r="AI188" s="76">
        <v>392117.5</v>
      </c>
      <c r="AJ188" s="76"/>
      <c r="AK188" s="76">
        <v>372807.98</v>
      </c>
      <c r="AL188" s="24">
        <f>+'Gen Rev'!AI188-'Gen Exp'!AE188+'Gen Exp'!AI188-AK188</f>
        <v>0</v>
      </c>
      <c r="AM188" s="41" t="str">
        <f>'Gen Rev'!A188</f>
        <v>East Canton</v>
      </c>
      <c r="AN188" s="21" t="str">
        <f t="shared" si="20"/>
        <v>East Canton</v>
      </c>
      <c r="AO188" s="21" t="b">
        <f t="shared" si="21"/>
        <v>1</v>
      </c>
    </row>
    <row r="189" spans="1:41" s="19" customFormat="1" ht="12" customHeight="1" x14ac:dyDescent="0.2">
      <c r="A189" s="10" t="s">
        <v>944</v>
      </c>
      <c r="B189" s="10"/>
      <c r="C189" s="10" t="s">
        <v>305</v>
      </c>
      <c r="D189" s="10"/>
      <c r="E189" s="76">
        <v>875188</v>
      </c>
      <c r="F189" s="76"/>
      <c r="G189" s="76">
        <v>0</v>
      </c>
      <c r="H189" s="76"/>
      <c r="I189" s="76">
        <v>0</v>
      </c>
      <c r="J189" s="76"/>
      <c r="K189" s="76">
        <v>0</v>
      </c>
      <c r="L189" s="76"/>
      <c r="M189" s="76">
        <v>0</v>
      </c>
      <c r="N189" s="76"/>
      <c r="O189" s="76">
        <v>0</v>
      </c>
      <c r="P189" s="76"/>
      <c r="Q189" s="76">
        <v>449269</v>
      </c>
      <c r="R189" s="76"/>
      <c r="S189" s="76">
        <v>0</v>
      </c>
      <c r="T189" s="76"/>
      <c r="U189" s="76">
        <v>11758</v>
      </c>
      <c r="V189" s="76"/>
      <c r="W189" s="76">
        <v>2437</v>
      </c>
      <c r="X189" s="76"/>
      <c r="Y189" s="76">
        <v>103943</v>
      </c>
      <c r="Z189" s="76"/>
      <c r="AA189" s="76">
        <v>0</v>
      </c>
      <c r="AB189" s="76"/>
      <c r="AC189" s="76">
        <v>0</v>
      </c>
      <c r="AD189" s="76"/>
      <c r="AE189" s="76">
        <f t="shared" si="19"/>
        <v>1442595</v>
      </c>
      <c r="AF189" s="76"/>
      <c r="AG189" s="76">
        <v>-15798</v>
      </c>
      <c r="AH189" s="76"/>
      <c r="AI189" s="76">
        <v>2646003</v>
      </c>
      <c r="AJ189" s="76"/>
      <c r="AK189" s="76">
        <v>2630205</v>
      </c>
      <c r="AL189" s="24">
        <f>+'Gen Rev'!AI189-'Gen Exp'!AE189+'Gen Exp'!AI189-AK189</f>
        <v>0</v>
      </c>
      <c r="AM189" s="41" t="str">
        <f>'Gen Rev'!A189</f>
        <v>East Palestine</v>
      </c>
      <c r="AN189" s="21" t="str">
        <f t="shared" si="20"/>
        <v>East Palestine</v>
      </c>
      <c r="AO189" s="21" t="b">
        <f t="shared" si="21"/>
        <v>1</v>
      </c>
    </row>
    <row r="190" spans="1:41" s="19" customFormat="1" ht="12" customHeight="1" x14ac:dyDescent="0.2">
      <c r="A190" s="1" t="s">
        <v>224</v>
      </c>
      <c r="B190" s="1"/>
      <c r="C190" s="1" t="s">
        <v>804</v>
      </c>
      <c r="D190" s="23"/>
      <c r="E190" s="76">
        <v>64963.68</v>
      </c>
      <c r="F190" s="76"/>
      <c r="G190" s="76">
        <v>3750</v>
      </c>
      <c r="H190" s="76"/>
      <c r="I190" s="76">
        <v>0</v>
      </c>
      <c r="J190" s="76"/>
      <c r="K190" s="76">
        <v>0</v>
      </c>
      <c r="L190" s="76"/>
      <c r="M190" s="76">
        <v>0</v>
      </c>
      <c r="N190" s="76"/>
      <c r="O190" s="76">
        <v>62463.89</v>
      </c>
      <c r="P190" s="76"/>
      <c r="Q190" s="76">
        <v>110489.59</v>
      </c>
      <c r="R190" s="76"/>
      <c r="S190" s="76">
        <v>1222.19</v>
      </c>
      <c r="T190" s="76"/>
      <c r="U190" s="76">
        <v>4539.8999999999996</v>
      </c>
      <c r="V190" s="76"/>
      <c r="W190" s="76">
        <v>269.77999999999997</v>
      </c>
      <c r="X190" s="76"/>
      <c r="Y190" s="76">
        <v>0</v>
      </c>
      <c r="Z190" s="76"/>
      <c r="AA190" s="76">
        <v>0</v>
      </c>
      <c r="AB190" s="76"/>
      <c r="AC190" s="76">
        <v>0</v>
      </c>
      <c r="AD190" s="76"/>
      <c r="AE190" s="76">
        <f t="shared" si="19"/>
        <v>247699.03</v>
      </c>
      <c r="AF190" s="76"/>
      <c r="AG190" s="76">
        <v>-14932.52</v>
      </c>
      <c r="AH190" s="76"/>
      <c r="AI190" s="76">
        <v>94348.26</v>
      </c>
      <c r="AJ190" s="76"/>
      <c r="AK190" s="76">
        <v>79415.740000000005</v>
      </c>
      <c r="AL190" s="24">
        <f>+'Gen Rev'!AI190-'Gen Exp'!AE190+'Gen Exp'!AI190-AK190</f>
        <v>0</v>
      </c>
      <c r="AM190" s="41" t="str">
        <f>'Gen Rev'!A190</f>
        <v>East Sparta</v>
      </c>
      <c r="AN190" s="21" t="str">
        <f t="shared" si="20"/>
        <v>East Sparta</v>
      </c>
      <c r="AO190" s="21" t="b">
        <f t="shared" si="21"/>
        <v>1</v>
      </c>
    </row>
    <row r="191" spans="1:41" ht="12" customHeight="1" x14ac:dyDescent="0.2">
      <c r="A191" s="1" t="s">
        <v>595</v>
      </c>
      <c r="C191" s="1" t="s">
        <v>596</v>
      </c>
      <c r="E191" s="76">
        <v>529409</v>
      </c>
      <c r="F191" s="76"/>
      <c r="G191" s="76">
        <v>0</v>
      </c>
      <c r="H191" s="76"/>
      <c r="I191" s="76">
        <v>28528</v>
      </c>
      <c r="J191" s="76"/>
      <c r="K191" s="76">
        <v>7214</v>
      </c>
      <c r="L191" s="76"/>
      <c r="M191" s="76">
        <v>0</v>
      </c>
      <c r="N191" s="76"/>
      <c r="O191" s="76">
        <v>90713</v>
      </c>
      <c r="P191" s="76"/>
      <c r="Q191" s="76">
        <f>167293+1</f>
        <v>167294</v>
      </c>
      <c r="R191" s="76"/>
      <c r="S191" s="76">
        <v>0</v>
      </c>
      <c r="T191" s="76"/>
      <c r="U191" s="76">
        <v>0</v>
      </c>
      <c r="V191" s="76"/>
      <c r="W191" s="76">
        <v>0</v>
      </c>
      <c r="X191" s="76"/>
      <c r="Y191" s="76">
        <v>0</v>
      </c>
      <c r="Z191" s="76"/>
      <c r="AA191" s="76">
        <v>0</v>
      </c>
      <c r="AB191" s="76"/>
      <c r="AC191" s="76">
        <v>10660</v>
      </c>
      <c r="AD191" s="76"/>
      <c r="AE191" s="76">
        <f t="shared" si="19"/>
        <v>833818</v>
      </c>
      <c r="AF191" s="76"/>
      <c r="AG191" s="76">
        <v>-164418</v>
      </c>
      <c r="AH191" s="76"/>
      <c r="AI191" s="76">
        <v>-10332</v>
      </c>
      <c r="AJ191" s="76"/>
      <c r="AK191" s="76">
        <v>-174751</v>
      </c>
      <c r="AL191" s="24">
        <f>+'Gen Rev'!AI191-'Gen Exp'!AE191+'Gen Exp'!AI191-AK191</f>
        <v>0</v>
      </c>
      <c r="AM191" s="41" t="str">
        <f>'Gen Rev'!A191</f>
        <v>Edgerton</v>
      </c>
      <c r="AN191" s="21" t="str">
        <f t="shared" si="20"/>
        <v>Edgerton</v>
      </c>
      <c r="AO191" s="21" t="b">
        <f t="shared" si="21"/>
        <v>1</v>
      </c>
    </row>
    <row r="192" spans="1:41" s="21" customFormat="1" ht="12" customHeight="1" x14ac:dyDescent="0.2">
      <c r="A192" s="1" t="s">
        <v>172</v>
      </c>
      <c r="B192" s="1"/>
      <c r="C192" s="1" t="s">
        <v>788</v>
      </c>
      <c r="D192" s="48"/>
      <c r="E192" s="76">
        <v>18604</v>
      </c>
      <c r="F192" s="76"/>
      <c r="G192" s="76">
        <v>0</v>
      </c>
      <c r="H192" s="76"/>
      <c r="I192" s="76">
        <v>0</v>
      </c>
      <c r="J192" s="76"/>
      <c r="K192" s="76">
        <v>0</v>
      </c>
      <c r="L192" s="76"/>
      <c r="M192" s="76">
        <v>0</v>
      </c>
      <c r="N192" s="76"/>
      <c r="O192" s="76">
        <v>0</v>
      </c>
      <c r="P192" s="76"/>
      <c r="Q192" s="76">
        <v>56554.77</v>
      </c>
      <c r="R192" s="76"/>
      <c r="S192" s="76">
        <v>0</v>
      </c>
      <c r="T192" s="76"/>
      <c r="U192" s="76">
        <v>6694.96</v>
      </c>
      <c r="V192" s="76"/>
      <c r="W192" s="76">
        <v>1164.3</v>
      </c>
      <c r="X192" s="76"/>
      <c r="Y192" s="76">
        <v>0</v>
      </c>
      <c r="Z192" s="76"/>
      <c r="AA192" s="76">
        <v>0</v>
      </c>
      <c r="AB192" s="76"/>
      <c r="AC192" s="76">
        <v>32</v>
      </c>
      <c r="AD192" s="76"/>
      <c r="AE192" s="76">
        <f t="shared" si="19"/>
        <v>83050.03</v>
      </c>
      <c r="AF192" s="76"/>
      <c r="AG192" s="76">
        <v>-1962.52</v>
      </c>
      <c r="AH192" s="76"/>
      <c r="AI192" s="76">
        <v>3672.74</v>
      </c>
      <c r="AJ192" s="76"/>
      <c r="AK192" s="76">
        <v>1710.22</v>
      </c>
      <c r="AL192" s="24">
        <f>+'Gen Rev'!AI192-'Gen Exp'!AE192+'Gen Exp'!AI192-AK192</f>
        <v>-4.3200998334214091E-12</v>
      </c>
      <c r="AM192" s="41" t="str">
        <f>'Gen Rev'!A192</f>
        <v>Edison</v>
      </c>
      <c r="AN192" s="21" t="str">
        <f t="shared" si="20"/>
        <v>Edison</v>
      </c>
      <c r="AO192" s="21" t="b">
        <f t="shared" si="21"/>
        <v>1</v>
      </c>
    </row>
    <row r="193" spans="1:41" ht="12" customHeight="1" x14ac:dyDescent="0.2">
      <c r="A193" s="1" t="s">
        <v>253</v>
      </c>
      <c r="C193" s="1" t="s">
        <v>812</v>
      </c>
      <c r="D193" s="48"/>
      <c r="E193" s="76">
        <v>196473.43</v>
      </c>
      <c r="F193" s="76"/>
      <c r="G193" s="76">
        <v>1222.07</v>
      </c>
      <c r="H193" s="76"/>
      <c r="I193" s="76">
        <v>18544.57</v>
      </c>
      <c r="J193" s="76"/>
      <c r="K193" s="76">
        <v>22558.45</v>
      </c>
      <c r="L193" s="76"/>
      <c r="M193" s="76">
        <v>0</v>
      </c>
      <c r="N193" s="76"/>
      <c r="O193" s="76">
        <v>46058.89</v>
      </c>
      <c r="P193" s="76"/>
      <c r="Q193" s="76">
        <v>136897.57999999999</v>
      </c>
      <c r="R193" s="76"/>
      <c r="S193" s="76">
        <v>0</v>
      </c>
      <c r="T193" s="76"/>
      <c r="U193" s="76">
        <v>0</v>
      </c>
      <c r="V193" s="76"/>
      <c r="W193" s="76">
        <v>0</v>
      </c>
      <c r="X193" s="76"/>
      <c r="Y193" s="76">
        <v>0</v>
      </c>
      <c r="Z193" s="76"/>
      <c r="AA193" s="76">
        <v>0</v>
      </c>
      <c r="AB193" s="76"/>
      <c r="AC193" s="76">
        <v>26885.26</v>
      </c>
      <c r="AD193" s="76"/>
      <c r="AE193" s="76">
        <f t="shared" si="19"/>
        <v>448640.25</v>
      </c>
      <c r="AF193" s="76"/>
      <c r="AG193" s="76">
        <v>-60143.02</v>
      </c>
      <c r="AH193" s="76"/>
      <c r="AI193" s="76">
        <v>137249.28</v>
      </c>
      <c r="AJ193" s="76"/>
      <c r="AK193" s="76">
        <v>77106.259999999995</v>
      </c>
      <c r="AL193" s="24">
        <f>+'Gen Rev'!AI193-'Gen Exp'!AE193+'Gen Exp'!AI193-AK193</f>
        <v>0</v>
      </c>
      <c r="AM193" s="41" t="str">
        <f>'Gen Rev'!A193</f>
        <v>Edon</v>
      </c>
      <c r="AN193" s="21" t="str">
        <f t="shared" si="20"/>
        <v>Edon</v>
      </c>
      <c r="AO193" s="21" t="b">
        <f t="shared" si="21"/>
        <v>1</v>
      </c>
    </row>
    <row r="194" spans="1:41" ht="12" customHeight="1" x14ac:dyDescent="0.2">
      <c r="A194" s="1" t="s">
        <v>200</v>
      </c>
      <c r="C194" s="1" t="s">
        <v>796</v>
      </c>
      <c r="D194" s="23"/>
      <c r="E194" s="76">
        <v>377.82</v>
      </c>
      <c r="F194" s="76"/>
      <c r="G194" s="76">
        <v>572.76</v>
      </c>
      <c r="H194" s="76"/>
      <c r="I194" s="76">
        <v>1844.8</v>
      </c>
      <c r="J194" s="76"/>
      <c r="K194" s="76">
        <v>185.73</v>
      </c>
      <c r="L194" s="76"/>
      <c r="M194" s="76">
        <v>36436.269999999997</v>
      </c>
      <c r="N194" s="76"/>
      <c r="O194" s="76">
        <v>0</v>
      </c>
      <c r="P194" s="76"/>
      <c r="Q194" s="76">
        <v>58491.360000000001</v>
      </c>
      <c r="R194" s="76"/>
      <c r="S194" s="76">
        <v>17919.7</v>
      </c>
      <c r="T194" s="76"/>
      <c r="U194" s="76">
        <v>0</v>
      </c>
      <c r="V194" s="76"/>
      <c r="W194" s="76">
        <v>0</v>
      </c>
      <c r="X194" s="76"/>
      <c r="Y194" s="76">
        <v>0</v>
      </c>
      <c r="Z194" s="76"/>
      <c r="AA194" s="76">
        <v>0</v>
      </c>
      <c r="AB194" s="76"/>
      <c r="AC194" s="76">
        <v>0</v>
      </c>
      <c r="AD194" s="76"/>
      <c r="AE194" s="76">
        <f t="shared" si="19"/>
        <v>115828.43999999999</v>
      </c>
      <c r="AF194" s="76"/>
      <c r="AG194" s="76">
        <v>-47.58</v>
      </c>
      <c r="AH194" s="76"/>
      <c r="AI194" s="76">
        <v>131459.71</v>
      </c>
      <c r="AJ194" s="76"/>
      <c r="AK194" s="76">
        <v>131412.13</v>
      </c>
      <c r="AL194" s="24">
        <f>+'Gen Rev'!AI194-'Gen Exp'!AE194+'Gen Exp'!AI194-AK194</f>
        <v>0</v>
      </c>
      <c r="AM194" s="41" t="str">
        <f>'Gen Rev'!A194</f>
        <v>Eldorado</v>
      </c>
      <c r="AN194" s="21" t="str">
        <f t="shared" si="20"/>
        <v>Eldorado</v>
      </c>
      <c r="AO194" s="21" t="b">
        <f t="shared" si="21"/>
        <v>1</v>
      </c>
    </row>
    <row r="195" spans="1:41" ht="12" hidden="1" customHeight="1" x14ac:dyDescent="0.2">
      <c r="A195" s="1" t="s">
        <v>571</v>
      </c>
      <c r="C195" s="1" t="s">
        <v>808</v>
      </c>
      <c r="D195" s="21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>
        <f t="shared" si="19"/>
        <v>0</v>
      </c>
      <c r="AF195" s="76"/>
      <c r="AG195" s="76"/>
      <c r="AH195" s="76"/>
      <c r="AI195" s="76"/>
      <c r="AJ195" s="76"/>
      <c r="AK195" s="76"/>
      <c r="AL195" s="24">
        <f>+'Gen Rev'!AI195-'Gen Exp'!AE195+'Gen Exp'!AI195-AK195</f>
        <v>0</v>
      </c>
      <c r="AM195" s="41" t="str">
        <f>'Gen Rev'!A195</f>
        <v>Elgin</v>
      </c>
      <c r="AN195" s="21" t="str">
        <f t="shared" si="20"/>
        <v>Elgin</v>
      </c>
      <c r="AO195" s="21" t="b">
        <f t="shared" si="21"/>
        <v>1</v>
      </c>
    </row>
    <row r="196" spans="1:41" s="15" customFormat="1" ht="12" customHeight="1" x14ac:dyDescent="0.2">
      <c r="A196" s="1" t="s">
        <v>3</v>
      </c>
      <c r="B196" s="1"/>
      <c r="C196" s="1" t="s">
        <v>737</v>
      </c>
      <c r="D196" s="23"/>
      <c r="E196" s="76">
        <v>197182.39</v>
      </c>
      <c r="F196" s="76"/>
      <c r="G196" s="76">
        <v>8904.9</v>
      </c>
      <c r="H196" s="76"/>
      <c r="I196" s="76">
        <v>0</v>
      </c>
      <c r="J196" s="76"/>
      <c r="K196" s="76">
        <v>1900</v>
      </c>
      <c r="L196" s="76"/>
      <c r="M196" s="76">
        <v>2993.88</v>
      </c>
      <c r="N196" s="76"/>
      <c r="O196" s="76">
        <v>65397.85</v>
      </c>
      <c r="P196" s="76"/>
      <c r="Q196" s="76">
        <v>99678.29</v>
      </c>
      <c r="R196" s="76"/>
      <c r="S196" s="76">
        <v>32763</v>
      </c>
      <c r="T196" s="76"/>
      <c r="U196" s="76">
        <v>0</v>
      </c>
      <c r="V196" s="76"/>
      <c r="W196" s="76">
        <v>0</v>
      </c>
      <c r="X196" s="76"/>
      <c r="Y196" s="76">
        <v>198069.15</v>
      </c>
      <c r="Z196" s="76"/>
      <c r="AA196" s="76">
        <v>0</v>
      </c>
      <c r="AB196" s="76"/>
      <c r="AC196" s="76">
        <v>6666.67</v>
      </c>
      <c r="AD196" s="76"/>
      <c r="AE196" s="76">
        <f t="shared" si="19"/>
        <v>613556.13</v>
      </c>
      <c r="AF196" s="76"/>
      <c r="AG196" s="76">
        <v>-2630.94</v>
      </c>
      <c r="AH196" s="76"/>
      <c r="AI196" s="76">
        <v>10553.82</v>
      </c>
      <c r="AJ196" s="76"/>
      <c r="AK196" s="76">
        <v>7922.88</v>
      </c>
      <c r="AL196" s="24">
        <f>+'Gen Rev'!AI196-'Gen Exp'!AE196+'Gen Exp'!AI196-AK196</f>
        <v>5.5479176808148623E-11</v>
      </c>
      <c r="AM196" s="41" t="str">
        <f>'Gen Rev'!A196</f>
        <v>Elida</v>
      </c>
      <c r="AN196" s="21" t="str">
        <f t="shared" si="20"/>
        <v>Elida</v>
      </c>
      <c r="AO196" s="21" t="b">
        <f t="shared" si="21"/>
        <v>1</v>
      </c>
    </row>
    <row r="197" spans="1:41" s="21" customFormat="1" ht="12" customHeight="1" x14ac:dyDescent="0.2">
      <c r="A197" s="1" t="s">
        <v>180</v>
      </c>
      <c r="B197" s="1"/>
      <c r="C197" s="1" t="s">
        <v>791</v>
      </c>
      <c r="D197" s="23"/>
      <c r="E197" s="76">
        <v>338638.18</v>
      </c>
      <c r="F197" s="76"/>
      <c r="G197" s="76">
        <v>3823.88</v>
      </c>
      <c r="H197" s="76"/>
      <c r="I197" s="76">
        <v>20201.8</v>
      </c>
      <c r="J197" s="76"/>
      <c r="K197" s="76">
        <v>6941.53</v>
      </c>
      <c r="L197" s="76"/>
      <c r="M197" s="76">
        <v>18106.71</v>
      </c>
      <c r="N197" s="76"/>
      <c r="O197" s="76">
        <v>7875</v>
      </c>
      <c r="P197" s="76"/>
      <c r="Q197" s="76">
        <v>198064.62</v>
      </c>
      <c r="R197" s="76"/>
      <c r="S197" s="76">
        <v>0</v>
      </c>
      <c r="T197" s="76"/>
      <c r="U197" s="76">
        <v>0</v>
      </c>
      <c r="V197" s="76"/>
      <c r="W197" s="76">
        <v>0</v>
      </c>
      <c r="X197" s="76"/>
      <c r="Y197" s="76">
        <v>35536.089999999997</v>
      </c>
      <c r="Z197" s="76"/>
      <c r="AA197" s="76">
        <v>0</v>
      </c>
      <c r="AB197" s="76"/>
      <c r="AC197" s="76">
        <v>0</v>
      </c>
      <c r="AD197" s="76"/>
      <c r="AE197" s="76">
        <f t="shared" si="19"/>
        <v>629187.80999999994</v>
      </c>
      <c r="AF197" s="76"/>
      <c r="AG197" s="76">
        <v>-68669.570000000007</v>
      </c>
      <c r="AH197" s="76"/>
      <c r="AI197" s="76">
        <v>725281.37</v>
      </c>
      <c r="AJ197" s="76"/>
      <c r="AK197" s="76">
        <v>656611.80000000005</v>
      </c>
      <c r="AL197" s="24">
        <f>+'Gen Rev'!AI197-'Gen Exp'!AE197+'Gen Exp'!AI197-AK197</f>
        <v>0</v>
      </c>
      <c r="AM197" s="41" t="str">
        <f>'Gen Rev'!A197</f>
        <v>Elmore</v>
      </c>
      <c r="AN197" s="21" t="str">
        <f t="shared" si="20"/>
        <v>Elmore</v>
      </c>
      <c r="AO197" s="21" t="b">
        <f t="shared" si="21"/>
        <v>1</v>
      </c>
    </row>
    <row r="198" spans="1:41" ht="12" customHeight="1" x14ac:dyDescent="0.2">
      <c r="A198" s="1" t="s">
        <v>92</v>
      </c>
      <c r="C198" s="1" t="s">
        <v>378</v>
      </c>
      <c r="D198" s="23"/>
      <c r="E198" s="76">
        <v>395631.89</v>
      </c>
      <c r="F198" s="76"/>
      <c r="G198" s="76">
        <v>0</v>
      </c>
      <c r="H198" s="76"/>
      <c r="I198" s="76">
        <v>2993.28</v>
      </c>
      <c r="J198" s="76"/>
      <c r="K198" s="76">
        <v>0</v>
      </c>
      <c r="L198" s="76"/>
      <c r="M198" s="76">
        <v>110000</v>
      </c>
      <c r="N198" s="76"/>
      <c r="O198" s="76">
        <v>4588.63</v>
      </c>
      <c r="P198" s="76"/>
      <c r="Q198" s="76">
        <v>395790.72</v>
      </c>
      <c r="R198" s="76"/>
      <c r="S198" s="76">
        <v>0</v>
      </c>
      <c r="T198" s="76"/>
      <c r="U198" s="76">
        <v>45392.93</v>
      </c>
      <c r="V198" s="76"/>
      <c r="W198" s="76">
        <v>11386.53</v>
      </c>
      <c r="X198" s="76"/>
      <c r="Y198" s="76">
        <v>0</v>
      </c>
      <c r="Z198" s="76"/>
      <c r="AA198" s="76">
        <v>0</v>
      </c>
      <c r="AB198" s="76"/>
      <c r="AC198" s="76">
        <v>0</v>
      </c>
      <c r="AD198" s="76"/>
      <c r="AE198" s="76">
        <f t="shared" si="19"/>
        <v>965783.9800000001</v>
      </c>
      <c r="AF198" s="76"/>
      <c r="AG198" s="76">
        <v>723546.96</v>
      </c>
      <c r="AH198" s="76"/>
      <c r="AI198" s="76">
        <v>124544.72</v>
      </c>
      <c r="AJ198" s="76"/>
      <c r="AK198" s="76">
        <v>848091.68</v>
      </c>
      <c r="AL198" s="24">
        <f>+'Gen Rev'!AI198-'Gen Exp'!AE198+'Gen Exp'!AI198-AK198</f>
        <v>0</v>
      </c>
      <c r="AM198" s="41" t="str">
        <f>'Gen Rev'!A198</f>
        <v>Elmwood Place</v>
      </c>
      <c r="AN198" s="21" t="str">
        <f t="shared" si="20"/>
        <v>Elmwood Place</v>
      </c>
      <c r="AO198" s="21" t="b">
        <f t="shared" si="21"/>
        <v>1</v>
      </c>
    </row>
    <row r="199" spans="1:41" s="21" customFormat="1" ht="12" customHeight="1" x14ac:dyDescent="0.2">
      <c r="A199" s="1" t="s">
        <v>117</v>
      </c>
      <c r="B199" s="1"/>
      <c r="C199" s="1" t="s">
        <v>770</v>
      </c>
      <c r="D199" s="23"/>
      <c r="E199" s="76">
        <v>14028.3</v>
      </c>
      <c r="F199" s="76"/>
      <c r="G199" s="76">
        <v>1622.97</v>
      </c>
      <c r="H199" s="76"/>
      <c r="I199" s="76">
        <v>1805.78</v>
      </c>
      <c r="J199" s="76"/>
      <c r="K199" s="76">
        <v>0</v>
      </c>
      <c r="L199" s="76"/>
      <c r="M199" s="76">
        <v>0</v>
      </c>
      <c r="N199" s="76"/>
      <c r="O199" s="76">
        <v>0</v>
      </c>
      <c r="P199" s="76"/>
      <c r="Q199" s="76">
        <v>20536.2</v>
      </c>
      <c r="R199" s="76"/>
      <c r="S199" s="76">
        <v>0</v>
      </c>
      <c r="T199" s="76"/>
      <c r="U199" s="76">
        <v>0</v>
      </c>
      <c r="V199" s="76"/>
      <c r="W199" s="76">
        <v>0</v>
      </c>
      <c r="X199" s="76"/>
      <c r="Y199" s="76">
        <v>0</v>
      </c>
      <c r="Z199" s="76"/>
      <c r="AA199" s="76">
        <v>0</v>
      </c>
      <c r="AB199" s="76"/>
      <c r="AC199" s="76">
        <v>0</v>
      </c>
      <c r="AD199" s="76"/>
      <c r="AE199" s="76">
        <f t="shared" si="19"/>
        <v>37993.25</v>
      </c>
      <c r="AF199" s="76"/>
      <c r="AG199" s="76">
        <v>-9733.8700000000008</v>
      </c>
      <c r="AH199" s="76"/>
      <c r="AI199" s="76">
        <v>33544.57</v>
      </c>
      <c r="AJ199" s="76"/>
      <c r="AK199" s="76">
        <v>23810.7</v>
      </c>
      <c r="AL199" s="24">
        <f>+'Gen Rev'!AI199-'Gen Exp'!AE199+'Gen Exp'!AI199-AK199</f>
        <v>0</v>
      </c>
      <c r="AM199" s="41" t="str">
        <f>'Gen Rev'!A199</f>
        <v>Empire</v>
      </c>
      <c r="AN199" s="21" t="str">
        <f t="shared" si="20"/>
        <v>Empire</v>
      </c>
      <c r="AO199" s="21" t="b">
        <f t="shared" si="21"/>
        <v>1</v>
      </c>
    </row>
    <row r="200" spans="1:41" ht="12" customHeight="1" x14ac:dyDescent="0.2">
      <c r="A200" s="1" t="s">
        <v>291</v>
      </c>
      <c r="C200" s="1" t="s">
        <v>292</v>
      </c>
      <c r="E200" s="76">
        <v>25548</v>
      </c>
      <c r="F200" s="76"/>
      <c r="G200" s="76">
        <v>0</v>
      </c>
      <c r="H200" s="76"/>
      <c r="I200" s="76">
        <v>5508</v>
      </c>
      <c r="J200" s="76"/>
      <c r="K200" s="76">
        <v>0</v>
      </c>
      <c r="L200" s="76"/>
      <c r="M200" s="76">
        <v>0</v>
      </c>
      <c r="N200" s="76"/>
      <c r="O200" s="76">
        <v>0</v>
      </c>
      <c r="P200" s="76"/>
      <c r="Q200" s="76">
        <v>50645</v>
      </c>
      <c r="R200" s="76"/>
      <c r="S200" s="76">
        <v>50068</v>
      </c>
      <c r="T200" s="76"/>
      <c r="U200" s="76">
        <v>0</v>
      </c>
      <c r="V200" s="76"/>
      <c r="W200" s="76">
        <v>0</v>
      </c>
      <c r="X200" s="76"/>
      <c r="Y200" s="76">
        <v>0</v>
      </c>
      <c r="Z200" s="76"/>
      <c r="AA200" s="76">
        <v>0</v>
      </c>
      <c r="AB200" s="76"/>
      <c r="AC200" s="76">
        <f>17535+24855+32563+133197+2</f>
        <v>208152</v>
      </c>
      <c r="AD200" s="76"/>
      <c r="AE200" s="76">
        <f t="shared" si="19"/>
        <v>339921</v>
      </c>
      <c r="AF200" s="76"/>
      <c r="AG200" s="76">
        <v>15638</v>
      </c>
      <c r="AH200" s="76"/>
      <c r="AI200" s="76">
        <v>530207</v>
      </c>
      <c r="AJ200" s="76"/>
      <c r="AK200" s="76">
        <v>545845</v>
      </c>
      <c r="AL200" s="24">
        <f>+'Gen Rev'!AI200-'Gen Exp'!AE200+'Gen Exp'!AI200-AK200</f>
        <v>0</v>
      </c>
      <c r="AM200" s="41" t="str">
        <f>'Gen Rev'!A200</f>
        <v>Enon</v>
      </c>
      <c r="AN200" s="21" t="str">
        <f t="shared" si="20"/>
        <v>Enon</v>
      </c>
      <c r="AO200" s="21" t="b">
        <f t="shared" si="21"/>
        <v>1</v>
      </c>
    </row>
    <row r="201" spans="1:41" s="21" customFormat="1" ht="12" customHeight="1" x14ac:dyDescent="0.2">
      <c r="A201" s="1" t="s">
        <v>380</v>
      </c>
      <c r="B201" s="1"/>
      <c r="C201" s="1" t="s">
        <v>378</v>
      </c>
      <c r="D201" s="1"/>
      <c r="E201" s="76">
        <v>5501872</v>
      </c>
      <c r="F201" s="76"/>
      <c r="G201" s="76">
        <v>5891</v>
      </c>
      <c r="H201" s="76"/>
      <c r="I201" s="76">
        <v>1366038</v>
      </c>
      <c r="J201" s="76"/>
      <c r="K201" s="76">
        <v>220762</v>
      </c>
      <c r="L201" s="76"/>
      <c r="M201" s="76">
        <v>244893</v>
      </c>
      <c r="N201" s="76"/>
      <c r="O201" s="76">
        <v>0</v>
      </c>
      <c r="P201" s="76"/>
      <c r="Q201" s="76">
        <f>2278200-1</f>
        <v>2278199</v>
      </c>
      <c r="R201" s="76"/>
      <c r="S201" s="76">
        <v>332476</v>
      </c>
      <c r="T201" s="76"/>
      <c r="U201" s="76">
        <v>0</v>
      </c>
      <c r="V201" s="76"/>
      <c r="W201" s="76">
        <v>0</v>
      </c>
      <c r="X201" s="76"/>
      <c r="Y201" s="76">
        <v>3147825</v>
      </c>
      <c r="Z201" s="76"/>
      <c r="AA201" s="76">
        <v>25000</v>
      </c>
      <c r="AB201" s="76"/>
      <c r="AC201" s="76">
        <v>0</v>
      </c>
      <c r="AD201" s="76"/>
      <c r="AE201" s="76">
        <f t="shared" si="19"/>
        <v>13122956</v>
      </c>
      <c r="AF201" s="76"/>
      <c r="AG201" s="76">
        <v>678147</v>
      </c>
      <c r="AH201" s="76"/>
      <c r="AI201" s="76">
        <v>14008924</v>
      </c>
      <c r="AJ201" s="76"/>
      <c r="AK201" s="76">
        <v>14687071</v>
      </c>
      <c r="AL201" s="24">
        <f>+'Gen Rev'!AI201-'Gen Exp'!AE201+'Gen Exp'!AI201-AK201</f>
        <v>0</v>
      </c>
      <c r="AM201" s="41" t="str">
        <f>'Gen Rev'!A201</f>
        <v>Evendale</v>
      </c>
      <c r="AN201" s="21" t="str">
        <f t="shared" si="20"/>
        <v>Evendale</v>
      </c>
      <c r="AO201" s="21" t="b">
        <f t="shared" si="21"/>
        <v>1</v>
      </c>
    </row>
    <row r="202" spans="1:41" s="21" customFormat="1" ht="12" customHeight="1" x14ac:dyDescent="0.2">
      <c r="A202" s="1" t="s">
        <v>93</v>
      </c>
      <c r="B202" s="1"/>
      <c r="C202" s="1" t="s">
        <v>763</v>
      </c>
      <c r="D202" s="1"/>
      <c r="E202" s="76">
        <v>964903.77</v>
      </c>
      <c r="F202" s="76"/>
      <c r="G202" s="76">
        <v>3331.2</v>
      </c>
      <c r="H202" s="76"/>
      <c r="I202" s="76">
        <v>58219.3</v>
      </c>
      <c r="J202" s="76"/>
      <c r="K202" s="76">
        <v>55788.959999999999</v>
      </c>
      <c r="L202" s="76"/>
      <c r="M202" s="76">
        <v>157925.67000000001</v>
      </c>
      <c r="N202" s="76"/>
      <c r="O202" s="76">
        <v>244478.69</v>
      </c>
      <c r="P202" s="76"/>
      <c r="Q202" s="76">
        <v>921379.49</v>
      </c>
      <c r="R202" s="76"/>
      <c r="S202" s="76">
        <v>0</v>
      </c>
      <c r="T202" s="76"/>
      <c r="U202" s="76">
        <v>0</v>
      </c>
      <c r="V202" s="76"/>
      <c r="W202" s="76">
        <v>0</v>
      </c>
      <c r="X202" s="76"/>
      <c r="Y202" s="76">
        <v>427204.1</v>
      </c>
      <c r="Z202" s="76"/>
      <c r="AA202" s="76">
        <v>44030</v>
      </c>
      <c r="AB202" s="76"/>
      <c r="AC202" s="76">
        <v>0</v>
      </c>
      <c r="AD202" s="76"/>
      <c r="AE202" s="76">
        <f t="shared" si="19"/>
        <v>2877261.18</v>
      </c>
      <c r="AF202" s="76"/>
      <c r="AG202" s="76">
        <v>368806.14</v>
      </c>
      <c r="AH202" s="76"/>
      <c r="AI202" s="76">
        <v>1058312.79</v>
      </c>
      <c r="AJ202" s="76"/>
      <c r="AK202" s="76">
        <v>1427118.93</v>
      </c>
      <c r="AL202" s="24">
        <f>+'Gen Rev'!AI202-'Gen Exp'!AE202+'Gen Exp'!AI202-AK202</f>
        <v>0</v>
      </c>
      <c r="AM202" s="41" t="str">
        <f>'Gen Rev'!A202</f>
        <v>Fairfax</v>
      </c>
      <c r="AN202" s="21" t="str">
        <f t="shared" si="20"/>
        <v>Fairfax</v>
      </c>
      <c r="AO202" s="21" t="b">
        <f t="shared" si="21"/>
        <v>1</v>
      </c>
    </row>
    <row r="203" spans="1:41" s="21" customFormat="1" ht="12" customHeight="1" x14ac:dyDescent="0.2">
      <c r="A203" s="1" t="s">
        <v>429</v>
      </c>
      <c r="B203" s="1"/>
      <c r="C203" s="1" t="s">
        <v>430</v>
      </c>
      <c r="D203" s="23"/>
      <c r="E203" s="76">
        <v>1088286.95</v>
      </c>
      <c r="F203" s="76"/>
      <c r="G203" s="76">
        <v>20334</v>
      </c>
      <c r="H203" s="76"/>
      <c r="I203" s="76">
        <v>5545.6</v>
      </c>
      <c r="J203" s="76"/>
      <c r="K203" s="76">
        <v>37763.99</v>
      </c>
      <c r="L203" s="76"/>
      <c r="M203" s="76">
        <v>0</v>
      </c>
      <c r="N203" s="76"/>
      <c r="O203" s="76">
        <v>75251.02</v>
      </c>
      <c r="P203" s="76"/>
      <c r="Q203" s="76">
        <v>569271.30000000005</v>
      </c>
      <c r="R203" s="76"/>
      <c r="S203" s="76">
        <v>0</v>
      </c>
      <c r="T203" s="76"/>
      <c r="U203" s="76">
        <v>0</v>
      </c>
      <c r="V203" s="76"/>
      <c r="W203" s="76">
        <v>0</v>
      </c>
      <c r="X203" s="76"/>
      <c r="Y203" s="76">
        <v>100631.98</v>
      </c>
      <c r="Z203" s="76"/>
      <c r="AA203" s="76">
        <v>25165</v>
      </c>
      <c r="AB203" s="76"/>
      <c r="AC203" s="76">
        <v>0</v>
      </c>
      <c r="AD203" s="76"/>
      <c r="AE203" s="76">
        <f t="shared" si="19"/>
        <v>1922249.84</v>
      </c>
      <c r="AF203" s="76"/>
      <c r="AG203" s="76">
        <v>21498.93</v>
      </c>
      <c r="AH203" s="76"/>
      <c r="AI203" s="76">
        <v>1070410.95</v>
      </c>
      <c r="AJ203" s="76"/>
      <c r="AK203" s="76">
        <v>1091909.8799999999</v>
      </c>
      <c r="AL203" s="24">
        <f>+'Gen Rev'!AI203-'Gen Exp'!AE203+'Gen Exp'!AI203-AK203</f>
        <v>0</v>
      </c>
      <c r="AM203" s="41" t="str">
        <f>'Gen Rev'!A203</f>
        <v>Fairport Harbor</v>
      </c>
      <c r="AN203" s="21" t="str">
        <f t="shared" si="20"/>
        <v>Fairport Harbor</v>
      </c>
      <c r="AO203" s="21" t="b">
        <f t="shared" si="21"/>
        <v>1</v>
      </c>
    </row>
    <row r="204" spans="1:41" s="19" customFormat="1" ht="12" hidden="1" customHeight="1" x14ac:dyDescent="0.2">
      <c r="A204" s="1" t="s">
        <v>886</v>
      </c>
      <c r="B204" s="1"/>
      <c r="C204" s="1" t="s">
        <v>762</v>
      </c>
      <c r="D204" s="21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>
        <f t="shared" si="19"/>
        <v>0</v>
      </c>
      <c r="AF204" s="76"/>
      <c r="AG204" s="76"/>
      <c r="AH204" s="76"/>
      <c r="AI204" s="76"/>
      <c r="AJ204" s="76"/>
      <c r="AK204" s="76"/>
      <c r="AL204" s="24">
        <f>+'Gen Rev'!AI204-'Gen Exp'!AE204+'Gen Exp'!AI204-AK204</f>
        <v>0</v>
      </c>
      <c r="AM204" s="41" t="str">
        <f>'Gen Rev'!A204</f>
        <v>Fairview</v>
      </c>
      <c r="AN204" s="21" t="str">
        <f t="shared" si="20"/>
        <v>Fairview</v>
      </c>
      <c r="AO204" s="21" t="b">
        <f t="shared" si="21"/>
        <v>1</v>
      </c>
    </row>
    <row r="205" spans="1:41" ht="12" customHeight="1" x14ac:dyDescent="0.2">
      <c r="A205" s="1" t="s">
        <v>167</v>
      </c>
      <c r="C205" s="1" t="s">
        <v>786</v>
      </c>
      <c r="D205" s="23"/>
      <c r="E205" s="76">
        <v>49703</v>
      </c>
      <c r="F205" s="76"/>
      <c r="G205" s="76">
        <v>0</v>
      </c>
      <c r="H205" s="76"/>
      <c r="I205" s="76">
        <v>0</v>
      </c>
      <c r="J205" s="76"/>
      <c r="K205" s="76">
        <v>1200</v>
      </c>
      <c r="L205" s="76"/>
      <c r="M205" s="76">
        <v>0</v>
      </c>
      <c r="N205" s="76"/>
      <c r="O205" s="76">
        <v>0</v>
      </c>
      <c r="P205" s="76"/>
      <c r="Q205" s="76">
        <v>167335.20000000001</v>
      </c>
      <c r="R205" s="76"/>
      <c r="S205" s="76">
        <v>105288.36</v>
      </c>
      <c r="T205" s="76"/>
      <c r="U205" s="76">
        <v>0</v>
      </c>
      <c r="V205" s="76"/>
      <c r="W205" s="76">
        <v>0</v>
      </c>
      <c r="X205" s="76"/>
      <c r="Y205" s="76">
        <v>40000</v>
      </c>
      <c r="Z205" s="76"/>
      <c r="AA205" s="76">
        <v>79797.7</v>
      </c>
      <c r="AB205" s="76"/>
      <c r="AC205" s="76">
        <v>0</v>
      </c>
      <c r="AD205" s="76"/>
      <c r="AE205" s="76">
        <f t="shared" si="19"/>
        <v>443324.26</v>
      </c>
      <c r="AF205" s="76"/>
      <c r="AG205" s="76">
        <v>-117225.71</v>
      </c>
      <c r="AH205" s="76"/>
      <c r="AI205" s="76">
        <v>125289.82</v>
      </c>
      <c r="AJ205" s="76"/>
      <c r="AK205" s="76">
        <v>8064.11</v>
      </c>
      <c r="AL205" s="24">
        <f>+'Gen Rev'!AI205-'Gen Exp'!AE205+'Gen Exp'!AI205-AK205</f>
        <v>4.4565240386873484E-11</v>
      </c>
      <c r="AM205" s="41" t="str">
        <f>'Gen Rev'!A205</f>
        <v>Farmersville</v>
      </c>
      <c r="AN205" s="21" t="str">
        <f t="shared" si="20"/>
        <v>Farmersville</v>
      </c>
      <c r="AO205" s="21" t="b">
        <f t="shared" si="21"/>
        <v>1</v>
      </c>
    </row>
    <row r="206" spans="1:41" ht="12" customHeight="1" x14ac:dyDescent="0.2">
      <c r="A206" s="1" t="s">
        <v>360</v>
      </c>
      <c r="C206" s="1" t="s">
        <v>358</v>
      </c>
      <c r="E206" s="76">
        <v>205064</v>
      </c>
      <c r="F206" s="76"/>
      <c r="G206" s="76">
        <v>0</v>
      </c>
      <c r="H206" s="76"/>
      <c r="I206" s="76">
        <v>0</v>
      </c>
      <c r="J206" s="76"/>
      <c r="K206" s="76">
        <v>6385</v>
      </c>
      <c r="L206" s="76"/>
      <c r="M206" s="76">
        <v>0</v>
      </c>
      <c r="N206" s="76"/>
      <c r="O206" s="76">
        <v>24333</v>
      </c>
      <c r="P206" s="76"/>
      <c r="Q206" s="76">
        <v>110445</v>
      </c>
      <c r="R206" s="76"/>
      <c r="S206" s="76">
        <v>3544</v>
      </c>
      <c r="T206" s="76"/>
      <c r="U206" s="76">
        <v>0</v>
      </c>
      <c r="V206" s="76"/>
      <c r="W206" s="76">
        <v>0</v>
      </c>
      <c r="X206" s="76"/>
      <c r="Y206" s="76">
        <v>0</v>
      </c>
      <c r="Z206" s="76"/>
      <c r="AA206" s="76">
        <v>0</v>
      </c>
      <c r="AB206" s="76"/>
      <c r="AC206" s="76">
        <v>0</v>
      </c>
      <c r="AD206" s="76"/>
      <c r="AE206" s="76">
        <f t="shared" si="19"/>
        <v>349771</v>
      </c>
      <c r="AF206" s="76"/>
      <c r="AG206" s="76">
        <v>60713</v>
      </c>
      <c r="AH206" s="76"/>
      <c r="AI206" s="76">
        <v>592681</v>
      </c>
      <c r="AJ206" s="76"/>
      <c r="AK206" s="76">
        <v>653394</v>
      </c>
      <c r="AL206" s="24">
        <f>+'Gen Rev'!AI206-'Gen Exp'!AE206+'Gen Exp'!AI206-AK206</f>
        <v>0</v>
      </c>
      <c r="AM206" s="41" t="str">
        <f>'Gen Rev'!A206</f>
        <v>Fayette</v>
      </c>
      <c r="AN206" s="21" t="str">
        <f t="shared" si="20"/>
        <v>Fayette</v>
      </c>
      <c r="AO206" s="21" t="b">
        <f t="shared" si="21"/>
        <v>1</v>
      </c>
    </row>
    <row r="207" spans="1:41" s="21" customFormat="1" ht="12" customHeight="1" x14ac:dyDescent="0.2">
      <c r="A207" s="1" t="s">
        <v>21</v>
      </c>
      <c r="B207" s="1"/>
      <c r="C207" s="1" t="s">
        <v>742</v>
      </c>
      <c r="D207" s="23"/>
      <c r="E207" s="76">
        <v>61306.16</v>
      </c>
      <c r="F207" s="76"/>
      <c r="G207" s="76">
        <v>556</v>
      </c>
      <c r="H207" s="76"/>
      <c r="I207" s="76">
        <v>5075.25</v>
      </c>
      <c r="J207" s="76"/>
      <c r="K207" s="76">
        <v>0</v>
      </c>
      <c r="L207" s="76"/>
      <c r="M207" s="76">
        <v>0</v>
      </c>
      <c r="N207" s="76"/>
      <c r="O207" s="76">
        <v>8756.67</v>
      </c>
      <c r="P207" s="76"/>
      <c r="Q207" s="76">
        <v>69478.460000000006</v>
      </c>
      <c r="R207" s="76"/>
      <c r="S207" s="76">
        <v>0</v>
      </c>
      <c r="T207" s="76"/>
      <c r="U207" s="76">
        <v>10327</v>
      </c>
      <c r="V207" s="76"/>
      <c r="W207" s="76">
        <v>808.61</v>
      </c>
      <c r="X207" s="76"/>
      <c r="Y207" s="76">
        <v>0</v>
      </c>
      <c r="Z207" s="76"/>
      <c r="AA207" s="76">
        <v>0</v>
      </c>
      <c r="AB207" s="76"/>
      <c r="AC207" s="76">
        <v>9520</v>
      </c>
      <c r="AD207" s="76"/>
      <c r="AE207" s="76">
        <f t="shared" si="19"/>
        <v>165828.15</v>
      </c>
      <c r="AF207" s="76"/>
      <c r="AG207" s="76">
        <v>-21899.08</v>
      </c>
      <c r="AH207" s="76"/>
      <c r="AI207" s="76">
        <v>48736.55</v>
      </c>
      <c r="AJ207" s="76"/>
      <c r="AK207" s="76">
        <v>26837.47</v>
      </c>
      <c r="AL207" s="24">
        <f>+'Gen Rev'!AI207-'Gen Exp'!AE207+'Gen Exp'!AI207-AK207</f>
        <v>0</v>
      </c>
      <c r="AM207" s="41" t="str">
        <f>'Gen Rev'!A207</f>
        <v>Fayetteville</v>
      </c>
      <c r="AN207" s="21" t="str">
        <f t="shared" si="20"/>
        <v>Fayetteville</v>
      </c>
      <c r="AO207" s="21" t="b">
        <f t="shared" si="21"/>
        <v>1</v>
      </c>
    </row>
    <row r="208" spans="1:41" s="21" customFormat="1" ht="12" hidden="1" customHeight="1" x14ac:dyDescent="0.2">
      <c r="A208" s="1" t="s">
        <v>297</v>
      </c>
      <c r="B208" s="1"/>
      <c r="C208" s="1" t="s">
        <v>295</v>
      </c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>
        <f t="shared" si="19"/>
        <v>0</v>
      </c>
      <c r="AF208" s="76"/>
      <c r="AG208" s="76"/>
      <c r="AH208" s="76"/>
      <c r="AI208" s="76"/>
      <c r="AJ208" s="76"/>
      <c r="AK208" s="76"/>
      <c r="AL208" s="24">
        <f>+'Gen Rev'!AI208-'Gen Exp'!AE208+'Gen Exp'!AI208-AK208</f>
        <v>0</v>
      </c>
      <c r="AM208" s="41" t="str">
        <f>'Gen Rev'!A208</f>
        <v>Felicity</v>
      </c>
      <c r="AN208" s="21" t="str">
        <f t="shared" si="20"/>
        <v>Felicity</v>
      </c>
      <c r="AO208" s="21" t="b">
        <f t="shared" si="21"/>
        <v>1</v>
      </c>
    </row>
    <row r="209" spans="1:41" s="21" customFormat="1" ht="12" customHeight="1" x14ac:dyDescent="0.2">
      <c r="A209" s="15" t="s">
        <v>921</v>
      </c>
      <c r="B209" s="15"/>
      <c r="C209" s="1" t="s">
        <v>470</v>
      </c>
      <c r="D209" s="23"/>
      <c r="E209" s="76">
        <v>9347.16</v>
      </c>
      <c r="F209" s="76"/>
      <c r="G209" s="76">
        <v>0</v>
      </c>
      <c r="H209" s="76"/>
      <c r="I209" s="76">
        <v>4189.0600000000004</v>
      </c>
      <c r="J209" s="76"/>
      <c r="K209" s="76">
        <v>0</v>
      </c>
      <c r="L209" s="76"/>
      <c r="M209" s="76">
        <v>0</v>
      </c>
      <c r="N209" s="76"/>
      <c r="O209" s="76">
        <v>0</v>
      </c>
      <c r="P209" s="76"/>
      <c r="Q209" s="76">
        <v>23430.32</v>
      </c>
      <c r="R209" s="76"/>
      <c r="S209" s="76">
        <v>0</v>
      </c>
      <c r="T209" s="76"/>
      <c r="U209" s="76">
        <v>0</v>
      </c>
      <c r="V209" s="76"/>
      <c r="W209" s="76">
        <v>0</v>
      </c>
      <c r="X209" s="76"/>
      <c r="Y209" s="76">
        <v>0</v>
      </c>
      <c r="Z209" s="76"/>
      <c r="AA209" s="76">
        <v>0</v>
      </c>
      <c r="AB209" s="76"/>
      <c r="AC209" s="76">
        <v>7247.13</v>
      </c>
      <c r="AD209" s="76"/>
      <c r="AE209" s="76">
        <f t="shared" si="19"/>
        <v>44213.67</v>
      </c>
      <c r="AF209" s="76"/>
      <c r="AG209" s="76">
        <v>-10976.34</v>
      </c>
      <c r="AH209" s="76"/>
      <c r="AI209" s="76">
        <v>27764.55</v>
      </c>
      <c r="AJ209" s="76"/>
      <c r="AK209" s="76">
        <v>16788.21</v>
      </c>
      <c r="AL209" s="24">
        <f>+'Gen Rev'!AI209-'Gen Exp'!AE209+'Gen Exp'!AI209-AK209</f>
        <v>0</v>
      </c>
      <c r="AM209" s="41" t="str">
        <f>'Gen Rev'!A209</f>
        <v>Fletcher</v>
      </c>
      <c r="AN209" s="21" t="str">
        <f t="shared" si="20"/>
        <v>Fletcher</v>
      </c>
      <c r="AO209" s="21" t="b">
        <f t="shared" si="21"/>
        <v>1</v>
      </c>
    </row>
    <row r="210" spans="1:41" s="21" customFormat="1" ht="12" customHeight="1" x14ac:dyDescent="0.2">
      <c r="A210" s="1" t="s">
        <v>105</v>
      </c>
      <c r="B210" s="1"/>
      <c r="C210" s="1" t="s">
        <v>766</v>
      </c>
      <c r="D210" s="23"/>
      <c r="E210" s="76">
        <v>4202.2700000000004</v>
      </c>
      <c r="F210" s="76"/>
      <c r="G210" s="76">
        <v>622.55999999999995</v>
      </c>
      <c r="H210" s="76"/>
      <c r="I210" s="76">
        <v>911.45</v>
      </c>
      <c r="J210" s="76"/>
      <c r="K210" s="76">
        <v>0</v>
      </c>
      <c r="L210" s="76"/>
      <c r="M210" s="76">
        <v>816.65</v>
      </c>
      <c r="N210" s="76"/>
      <c r="O210" s="76">
        <v>0</v>
      </c>
      <c r="P210" s="76"/>
      <c r="Q210" s="76">
        <v>19835.13</v>
      </c>
      <c r="R210" s="76"/>
      <c r="S210" s="76">
        <v>0</v>
      </c>
      <c r="T210" s="76"/>
      <c r="U210" s="76">
        <v>0</v>
      </c>
      <c r="V210" s="76"/>
      <c r="W210" s="76">
        <v>0</v>
      </c>
      <c r="X210" s="76"/>
      <c r="Y210" s="76">
        <v>0</v>
      </c>
      <c r="Z210" s="76"/>
      <c r="AA210" s="76">
        <v>0</v>
      </c>
      <c r="AB210" s="76"/>
      <c r="AC210" s="76">
        <v>0</v>
      </c>
      <c r="AD210" s="76"/>
      <c r="AE210" s="76">
        <f t="shared" si="19"/>
        <v>26388.06</v>
      </c>
      <c r="AF210" s="76"/>
      <c r="AG210" s="76">
        <v>5360.53</v>
      </c>
      <c r="AH210" s="76"/>
      <c r="AI210" s="76">
        <v>-5655.02</v>
      </c>
      <c r="AJ210" s="76"/>
      <c r="AK210" s="76">
        <v>-294.49</v>
      </c>
      <c r="AL210" s="24">
        <f>+'Gen Rev'!AI210-'Gen Exp'!AE210+'Gen Exp'!AI210-AK210</f>
        <v>-1.5916157281026244E-12</v>
      </c>
      <c r="AM210" s="41" t="str">
        <f>'Gen Rev'!A210</f>
        <v>Florida</v>
      </c>
      <c r="AN210" s="21" t="str">
        <f t="shared" si="20"/>
        <v>Florida</v>
      </c>
      <c r="AO210" s="21" t="b">
        <f t="shared" si="21"/>
        <v>1</v>
      </c>
    </row>
    <row r="211" spans="1:41" s="21" customFormat="1" ht="12" customHeight="1" x14ac:dyDescent="0.2">
      <c r="A211" s="1" t="s">
        <v>922</v>
      </c>
      <c r="B211" s="1"/>
      <c r="C211" s="1" t="s">
        <v>741</v>
      </c>
      <c r="D211" s="1"/>
      <c r="E211" s="76">
        <v>14300</v>
      </c>
      <c r="F211" s="76"/>
      <c r="G211" s="76">
        <v>3472.31</v>
      </c>
      <c r="H211" s="76"/>
      <c r="I211" s="76">
        <v>0</v>
      </c>
      <c r="J211" s="76"/>
      <c r="K211" s="76">
        <v>0</v>
      </c>
      <c r="L211" s="76"/>
      <c r="M211" s="76">
        <v>8942.34</v>
      </c>
      <c r="N211" s="76"/>
      <c r="O211" s="76">
        <v>0</v>
      </c>
      <c r="P211" s="76"/>
      <c r="Q211" s="76">
        <v>50149.04</v>
      </c>
      <c r="R211" s="76"/>
      <c r="S211" s="76">
        <v>0</v>
      </c>
      <c r="T211" s="76"/>
      <c r="U211" s="76">
        <v>10046.34</v>
      </c>
      <c r="V211" s="76"/>
      <c r="W211" s="76">
        <v>398.72</v>
      </c>
      <c r="X211" s="76"/>
      <c r="Y211" s="76">
        <v>0</v>
      </c>
      <c r="Z211" s="76"/>
      <c r="AA211" s="76">
        <v>0</v>
      </c>
      <c r="AB211" s="76"/>
      <c r="AC211" s="76">
        <v>0</v>
      </c>
      <c r="AD211" s="76"/>
      <c r="AE211" s="76">
        <f t="shared" si="19"/>
        <v>87308.75</v>
      </c>
      <c r="AF211" s="76"/>
      <c r="AG211" s="76">
        <v>229800.49</v>
      </c>
      <c r="AH211" s="76"/>
      <c r="AI211" s="76">
        <v>52069.79</v>
      </c>
      <c r="AJ211" s="76"/>
      <c r="AK211" s="76">
        <v>281870.28000000003</v>
      </c>
      <c r="AL211" s="24">
        <f>+'Gen Rev'!AI211-'Gen Exp'!AE211+'Gen Exp'!AI211-AK211</f>
        <v>0</v>
      </c>
      <c r="AM211" s="41" t="str">
        <f>'Gen Rev'!A211</f>
        <v>Flushing</v>
      </c>
      <c r="AN211" s="21" t="str">
        <f t="shared" si="20"/>
        <v>Flushing</v>
      </c>
      <c r="AO211" s="21" t="b">
        <f t="shared" si="21"/>
        <v>1</v>
      </c>
    </row>
    <row r="212" spans="1:41" s="21" customFormat="1" ht="12" customHeight="1" x14ac:dyDescent="0.2">
      <c r="A212" s="1" t="s">
        <v>398</v>
      </c>
      <c r="B212" s="1"/>
      <c r="C212" s="1" t="s">
        <v>396</v>
      </c>
      <c r="D212" s="1"/>
      <c r="E212" s="76">
        <v>239145</v>
      </c>
      <c r="F212" s="76"/>
      <c r="G212" s="76">
        <v>6608</v>
      </c>
      <c r="H212" s="76"/>
      <c r="I212" s="76">
        <v>0</v>
      </c>
      <c r="J212" s="76"/>
      <c r="K212" s="76">
        <v>21952</v>
      </c>
      <c r="L212" s="76"/>
      <c r="M212" s="76">
        <v>0</v>
      </c>
      <c r="N212" s="76"/>
      <c r="O212" s="76">
        <v>0</v>
      </c>
      <c r="P212" s="76"/>
      <c r="Q212" s="76">
        <v>139969</v>
      </c>
      <c r="R212" s="76"/>
      <c r="S212" s="76">
        <v>0</v>
      </c>
      <c r="T212" s="76"/>
      <c r="U212" s="76">
        <v>0</v>
      </c>
      <c r="V212" s="76"/>
      <c r="W212" s="76">
        <v>0</v>
      </c>
      <c r="X212" s="76"/>
      <c r="Y212" s="76">
        <v>77126</v>
      </c>
      <c r="Z212" s="76"/>
      <c r="AA212" s="76"/>
      <c r="AB212" s="76"/>
      <c r="AC212" s="76"/>
      <c r="AD212" s="76"/>
      <c r="AE212" s="76">
        <f t="shared" si="19"/>
        <v>484800</v>
      </c>
      <c r="AF212" s="76"/>
      <c r="AG212" s="76">
        <v>-73212</v>
      </c>
      <c r="AH212" s="76"/>
      <c r="AI212" s="76">
        <v>383159</v>
      </c>
      <c r="AJ212" s="76"/>
      <c r="AK212" s="76">
        <v>309947</v>
      </c>
      <c r="AL212" s="24">
        <f>+'Gen Rev'!AI212-'Gen Exp'!AE212+'Gen Exp'!AI212-AK212</f>
        <v>0</v>
      </c>
      <c r="AM212" s="41" t="str">
        <f>'Gen Rev'!A212</f>
        <v>Forest</v>
      </c>
      <c r="AN212" s="21" t="str">
        <f t="shared" si="20"/>
        <v>Forest</v>
      </c>
      <c r="AO212" s="21" t="b">
        <f t="shared" si="21"/>
        <v>1</v>
      </c>
    </row>
    <row r="213" spans="1:41" s="21" customFormat="1" ht="12" customHeight="1" x14ac:dyDescent="0.2">
      <c r="A213" s="1" t="s">
        <v>204</v>
      </c>
      <c r="B213" s="1"/>
      <c r="C213" s="1" t="s">
        <v>797</v>
      </c>
      <c r="D213" s="10"/>
      <c r="E213" s="76">
        <v>50644.74</v>
      </c>
      <c r="F213" s="76"/>
      <c r="G213" s="76">
        <v>0</v>
      </c>
      <c r="H213" s="76"/>
      <c r="I213" s="76">
        <v>915.43</v>
      </c>
      <c r="J213" s="76"/>
      <c r="K213" s="76">
        <v>0</v>
      </c>
      <c r="L213" s="76"/>
      <c r="M213" s="76">
        <v>2785.98</v>
      </c>
      <c r="N213" s="76"/>
      <c r="O213" s="76">
        <v>0</v>
      </c>
      <c r="P213" s="76"/>
      <c r="Q213" s="76">
        <v>93105.25</v>
      </c>
      <c r="R213" s="76"/>
      <c r="S213" s="76">
        <v>0</v>
      </c>
      <c r="T213" s="76"/>
      <c r="U213" s="76">
        <v>0</v>
      </c>
      <c r="V213" s="76"/>
      <c r="W213" s="76">
        <v>0</v>
      </c>
      <c r="X213" s="76"/>
      <c r="Y213" s="76">
        <v>4000</v>
      </c>
      <c r="Z213" s="76"/>
      <c r="AA213" s="76">
        <v>0</v>
      </c>
      <c r="AB213" s="76"/>
      <c r="AC213" s="76">
        <v>0</v>
      </c>
      <c r="AD213" s="76"/>
      <c r="AE213" s="76">
        <f t="shared" si="19"/>
        <v>151451.4</v>
      </c>
      <c r="AF213" s="76"/>
      <c r="AG213" s="76">
        <v>-2993.59</v>
      </c>
      <c r="AH213" s="76"/>
      <c r="AI213" s="76">
        <v>426574.37</v>
      </c>
      <c r="AJ213" s="76"/>
      <c r="AK213" s="76">
        <v>423580.78</v>
      </c>
      <c r="AL213" s="24">
        <f>+'Gen Rev'!AI213-'Gen Exp'!AE213+'Gen Exp'!AI213-AK213</f>
        <v>0</v>
      </c>
      <c r="AM213" s="41" t="str">
        <f>'Gen Rev'!A213</f>
        <v>Fort Jennings</v>
      </c>
      <c r="AN213" s="21" t="str">
        <f t="shared" si="20"/>
        <v>Fort Jennings</v>
      </c>
      <c r="AO213" s="21" t="b">
        <f t="shared" si="21"/>
        <v>1</v>
      </c>
    </row>
    <row r="214" spans="1:41" ht="12" customHeight="1" x14ac:dyDescent="0.2">
      <c r="A214" s="1" t="s">
        <v>222</v>
      </c>
      <c r="C214" s="1" t="s">
        <v>803</v>
      </c>
      <c r="D214" s="23"/>
      <c r="E214" s="76">
        <v>159627.92000000001</v>
      </c>
      <c r="F214" s="76"/>
      <c r="G214" s="76">
        <v>9160</v>
      </c>
      <c r="H214" s="76"/>
      <c r="I214" s="76">
        <v>12986.45</v>
      </c>
      <c r="J214" s="76"/>
      <c r="K214" s="76">
        <v>0</v>
      </c>
      <c r="L214" s="76"/>
      <c r="M214" s="76">
        <v>85696.3</v>
      </c>
      <c r="N214" s="76"/>
      <c r="O214" s="76">
        <v>127037.49</v>
      </c>
      <c r="P214" s="76"/>
      <c r="Q214" s="76">
        <v>178223.78</v>
      </c>
      <c r="R214" s="76"/>
      <c r="S214" s="76">
        <v>597848.06000000006</v>
      </c>
      <c r="T214" s="76"/>
      <c r="U214" s="76">
        <v>120531.31</v>
      </c>
      <c r="V214" s="76"/>
      <c r="W214" s="76">
        <v>6132.75</v>
      </c>
      <c r="X214" s="76"/>
      <c r="Y214" s="76">
        <v>0</v>
      </c>
      <c r="Z214" s="76"/>
      <c r="AA214" s="76">
        <v>0</v>
      </c>
      <c r="AB214" s="76"/>
      <c r="AC214" s="76">
        <v>0</v>
      </c>
      <c r="AD214" s="76"/>
      <c r="AE214" s="76">
        <f t="shared" si="19"/>
        <v>1297244.06</v>
      </c>
      <c r="AF214" s="76"/>
      <c r="AG214" s="76">
        <v>21392.98</v>
      </c>
      <c r="AH214" s="76"/>
      <c r="AI214" s="76">
        <v>948480.33</v>
      </c>
      <c r="AJ214" s="76"/>
      <c r="AK214" s="76">
        <v>969873.31</v>
      </c>
      <c r="AL214" s="24">
        <f>+'Gen Rev'!AI214-'Gen Exp'!AE214+'Gen Exp'!AI214-AK214</f>
        <v>0</v>
      </c>
      <c r="AM214" s="41" t="str">
        <f>'Gen Rev'!A214</f>
        <v>Fort Loramie</v>
      </c>
      <c r="AN214" s="21" t="str">
        <f t="shared" si="20"/>
        <v>Fort Loramie</v>
      </c>
      <c r="AO214" s="21" t="b">
        <f t="shared" si="21"/>
        <v>1</v>
      </c>
    </row>
    <row r="215" spans="1:41" ht="12" customHeight="1" x14ac:dyDescent="0.2">
      <c r="A215" s="1" t="s">
        <v>467</v>
      </c>
      <c r="C215" s="1" t="s">
        <v>466</v>
      </c>
      <c r="E215" s="76">
        <v>136999</v>
      </c>
      <c r="F215" s="76"/>
      <c r="G215" s="76">
        <v>32235</v>
      </c>
      <c r="H215" s="76"/>
      <c r="I215" s="76">
        <v>109483</v>
      </c>
      <c r="J215" s="76"/>
      <c r="K215" s="76">
        <v>2900</v>
      </c>
      <c r="L215" s="76"/>
      <c r="M215" s="76">
        <v>15</v>
      </c>
      <c r="N215" s="76"/>
      <c r="O215" s="76">
        <v>0</v>
      </c>
      <c r="P215" s="76"/>
      <c r="Q215" s="76">
        <v>334205</v>
      </c>
      <c r="R215" s="76"/>
      <c r="S215" s="76">
        <v>36215</v>
      </c>
      <c r="T215" s="76"/>
      <c r="U215" s="76">
        <v>0</v>
      </c>
      <c r="V215" s="76"/>
      <c r="W215" s="76">
        <v>0</v>
      </c>
      <c r="X215" s="76"/>
      <c r="Y215" s="76">
        <v>266732</v>
      </c>
      <c r="Z215" s="76"/>
      <c r="AA215" s="76">
        <v>0</v>
      </c>
      <c r="AB215" s="76"/>
      <c r="AC215" s="76">
        <v>0</v>
      </c>
      <c r="AD215" s="76"/>
      <c r="AE215" s="76">
        <f t="shared" si="19"/>
        <v>918784</v>
      </c>
      <c r="AF215" s="76"/>
      <c r="AG215" s="76">
        <v>289901</v>
      </c>
      <c r="AH215" s="76"/>
      <c r="AI215" s="76">
        <v>1756060</v>
      </c>
      <c r="AJ215" s="76"/>
      <c r="AK215" s="76">
        <v>2045960</v>
      </c>
      <c r="AL215" s="24">
        <f>+'Gen Rev'!AI215-'Gen Exp'!AE215+'Gen Exp'!AI215-AK215</f>
        <v>0</v>
      </c>
      <c r="AM215" s="41" t="str">
        <f>'Gen Rev'!A215</f>
        <v>Fort Recovery</v>
      </c>
      <c r="AN215" s="21" t="str">
        <f t="shared" si="20"/>
        <v>Fort Recovery</v>
      </c>
      <c r="AO215" s="21" t="b">
        <f t="shared" ref="AO215:AO246" si="22">AM215=AN215</f>
        <v>1</v>
      </c>
    </row>
    <row r="216" spans="1:41" ht="12" customHeight="1" x14ac:dyDescent="0.2">
      <c r="A216" s="1" t="s">
        <v>923</v>
      </c>
      <c r="C216" s="1" t="s">
        <v>703</v>
      </c>
      <c r="D216" s="23"/>
      <c r="E216" s="76">
        <v>86836.24</v>
      </c>
      <c r="F216" s="76"/>
      <c r="G216" s="76">
        <v>0</v>
      </c>
      <c r="H216" s="76"/>
      <c r="I216" s="76">
        <v>0</v>
      </c>
      <c r="J216" s="76"/>
      <c r="K216" s="76">
        <v>911.47</v>
      </c>
      <c r="L216" s="76"/>
      <c r="M216" s="76">
        <v>0</v>
      </c>
      <c r="N216" s="76"/>
      <c r="O216" s="76">
        <v>0</v>
      </c>
      <c r="P216" s="76"/>
      <c r="Q216" s="76">
        <v>96398.61</v>
      </c>
      <c r="R216" s="76"/>
      <c r="S216" s="76">
        <v>0</v>
      </c>
      <c r="T216" s="76"/>
      <c r="U216" s="76">
        <v>0</v>
      </c>
      <c r="V216" s="76"/>
      <c r="W216" s="76">
        <v>0</v>
      </c>
      <c r="X216" s="76"/>
      <c r="Y216" s="76">
        <v>1430</v>
      </c>
      <c r="Z216" s="76"/>
      <c r="AA216" s="76">
        <v>0</v>
      </c>
      <c r="AB216" s="76"/>
      <c r="AC216" s="76">
        <v>0</v>
      </c>
      <c r="AD216" s="76"/>
      <c r="AE216" s="76">
        <f t="shared" si="19"/>
        <v>185576.32000000001</v>
      </c>
      <c r="AF216" s="76"/>
      <c r="AG216" s="76">
        <v>99304.74</v>
      </c>
      <c r="AH216" s="76"/>
      <c r="AI216" s="76">
        <v>-167954.87</v>
      </c>
      <c r="AJ216" s="76"/>
      <c r="AK216" s="76">
        <v>-68650.13</v>
      </c>
      <c r="AL216" s="24">
        <f>+'Gen Rev'!AI216-'Gen Exp'!AE216+'Gen Exp'!AI216-AK216</f>
        <v>0</v>
      </c>
      <c r="AM216" s="41" t="str">
        <f>'Gen Rev'!A216</f>
        <v>Fort Shawnee</v>
      </c>
      <c r="AN216" s="21" t="str">
        <f t="shared" si="20"/>
        <v>Fort Shawnee</v>
      </c>
      <c r="AO216" s="21" t="b">
        <f t="shared" si="22"/>
        <v>1</v>
      </c>
    </row>
    <row r="217" spans="1:41" ht="12" customHeight="1" x14ac:dyDescent="0.2">
      <c r="A217" s="1" t="s">
        <v>212</v>
      </c>
      <c r="C217" s="1" t="s">
        <v>799</v>
      </c>
      <c r="D217" s="23"/>
      <c r="E217" s="76">
        <v>16341.5</v>
      </c>
      <c r="F217" s="76"/>
      <c r="G217" s="76">
        <v>0</v>
      </c>
      <c r="H217" s="76"/>
      <c r="I217" s="76">
        <v>2349</v>
      </c>
      <c r="J217" s="76"/>
      <c r="K217" s="76">
        <v>0</v>
      </c>
      <c r="L217" s="76"/>
      <c r="M217" s="76">
        <v>16881.62</v>
      </c>
      <c r="N217" s="76"/>
      <c r="O217" s="76">
        <v>0</v>
      </c>
      <c r="P217" s="76"/>
      <c r="Q217" s="76">
        <v>81369.69</v>
      </c>
      <c r="R217" s="76"/>
      <c r="S217" s="76">
        <v>549.20000000000005</v>
      </c>
      <c r="T217" s="76"/>
      <c r="U217" s="76">
        <v>0</v>
      </c>
      <c r="V217" s="76"/>
      <c r="W217" s="76">
        <v>0</v>
      </c>
      <c r="X217" s="76"/>
      <c r="Y217" s="76">
        <v>20833.34</v>
      </c>
      <c r="Z217" s="76"/>
      <c r="AA217" s="76">
        <v>0</v>
      </c>
      <c r="AB217" s="76"/>
      <c r="AC217" s="76">
        <v>0</v>
      </c>
      <c r="AD217" s="76"/>
      <c r="AE217" s="76">
        <f t="shared" si="19"/>
        <v>138324.35</v>
      </c>
      <c r="AF217" s="76"/>
      <c r="AG217" s="76">
        <v>-7841</v>
      </c>
      <c r="AH217" s="76"/>
      <c r="AI217" s="76">
        <v>498229.07</v>
      </c>
      <c r="AJ217" s="76"/>
      <c r="AK217" s="76">
        <v>490388.07</v>
      </c>
      <c r="AL217" s="24">
        <f>+'Gen Rev'!AI217-'Gen Exp'!AE217+'Gen Exp'!AI217-AK217</f>
        <v>0</v>
      </c>
      <c r="AM217" s="41" t="str">
        <f>'Gen Rev'!A217</f>
        <v>Frankfort</v>
      </c>
      <c r="AN217" s="21" t="str">
        <f t="shared" si="20"/>
        <v>Frankfort</v>
      </c>
      <c r="AO217" s="21" t="b">
        <f t="shared" si="22"/>
        <v>1</v>
      </c>
    </row>
    <row r="218" spans="1:41" ht="12" customHeight="1" x14ac:dyDescent="0.2">
      <c r="A218" s="1" t="s">
        <v>175</v>
      </c>
      <c r="C218" s="1" t="s">
        <v>789</v>
      </c>
      <c r="D218" s="23"/>
      <c r="E218" s="76">
        <v>93077.5</v>
      </c>
      <c r="F218" s="76"/>
      <c r="G218" s="76">
        <v>0</v>
      </c>
      <c r="H218" s="76"/>
      <c r="I218" s="76">
        <v>9218.77</v>
      </c>
      <c r="J218" s="76"/>
      <c r="K218" s="76">
        <v>15942.48</v>
      </c>
      <c r="L218" s="76"/>
      <c r="M218" s="76">
        <v>0</v>
      </c>
      <c r="N218" s="76"/>
      <c r="O218" s="76">
        <v>0</v>
      </c>
      <c r="P218" s="76"/>
      <c r="Q218" s="76">
        <v>85089.12</v>
      </c>
      <c r="R218" s="76"/>
      <c r="S218" s="76">
        <v>0</v>
      </c>
      <c r="T218" s="76"/>
      <c r="U218" s="76">
        <v>0</v>
      </c>
      <c r="V218" s="76"/>
      <c r="W218" s="76">
        <v>0</v>
      </c>
      <c r="X218" s="76"/>
      <c r="Y218" s="76">
        <v>5081.26</v>
      </c>
      <c r="Z218" s="76"/>
      <c r="AA218" s="76">
        <v>0</v>
      </c>
      <c r="AB218" s="76"/>
      <c r="AC218" s="76">
        <v>0</v>
      </c>
      <c r="AD218" s="76"/>
      <c r="AE218" s="76">
        <f t="shared" si="19"/>
        <v>208409.13</v>
      </c>
      <c r="AF218" s="76"/>
      <c r="AG218" s="76">
        <v>27038.81</v>
      </c>
      <c r="AH218" s="76"/>
      <c r="AI218" s="76">
        <v>948.37</v>
      </c>
      <c r="AJ218" s="76"/>
      <c r="AK218" s="76">
        <v>27987.18</v>
      </c>
      <c r="AL218" s="24">
        <f>+'Gen Rev'!AI218-'Gen Exp'!AE218+'Gen Exp'!AI218-AK218</f>
        <v>-3.2741809263825417E-11</v>
      </c>
      <c r="AM218" s="41" t="str">
        <f>'Gen Rev'!A218</f>
        <v>Frazeysburg</v>
      </c>
      <c r="AN218" s="21" t="str">
        <f t="shared" si="20"/>
        <v>Frazeysburg</v>
      </c>
      <c r="AO218" s="21" t="b">
        <f t="shared" si="22"/>
        <v>1</v>
      </c>
    </row>
    <row r="219" spans="1:41" ht="12" customHeight="1" x14ac:dyDescent="0.2">
      <c r="A219" s="36" t="s">
        <v>593</v>
      </c>
      <c r="B219" s="36"/>
      <c r="C219" s="36" t="s">
        <v>588</v>
      </c>
      <c r="D219" s="36"/>
      <c r="E219" s="76">
        <v>6404</v>
      </c>
      <c r="F219" s="76"/>
      <c r="G219" s="76">
        <v>1606</v>
      </c>
      <c r="H219" s="76"/>
      <c r="I219" s="76">
        <v>1815</v>
      </c>
      <c r="J219" s="76"/>
      <c r="K219" s="76">
        <v>0</v>
      </c>
      <c r="L219" s="76"/>
      <c r="M219" s="76">
        <v>0</v>
      </c>
      <c r="N219" s="76"/>
      <c r="O219" s="76">
        <v>2763</v>
      </c>
      <c r="P219" s="76"/>
      <c r="Q219" s="76">
        <v>54497</v>
      </c>
      <c r="R219" s="76"/>
      <c r="S219" s="76">
        <v>0</v>
      </c>
      <c r="T219" s="76"/>
      <c r="U219" s="76">
        <v>0</v>
      </c>
      <c r="V219" s="76"/>
      <c r="W219" s="76">
        <v>0</v>
      </c>
      <c r="X219" s="76"/>
      <c r="Y219" s="76">
        <v>0</v>
      </c>
      <c r="Z219" s="76"/>
      <c r="AA219" s="76">
        <v>0</v>
      </c>
      <c r="AB219" s="76"/>
      <c r="AC219" s="76">
        <v>0</v>
      </c>
      <c r="AD219" s="76"/>
      <c r="AE219" s="76">
        <f t="shared" si="19"/>
        <v>67085</v>
      </c>
      <c r="AF219" s="76"/>
      <c r="AG219" s="76">
        <v>39409</v>
      </c>
      <c r="AH219" s="76"/>
      <c r="AI219" s="76">
        <v>48486</v>
      </c>
      <c r="AJ219" s="76"/>
      <c r="AK219" s="76">
        <v>87895</v>
      </c>
      <c r="AL219" s="24">
        <f>+'Gen Rev'!AI219-'Gen Exp'!AE219+'Gen Exp'!AI219-AK219</f>
        <v>0</v>
      </c>
      <c r="AM219" s="41" t="str">
        <f>'Gen Rev'!A219</f>
        <v>Fredericksburg</v>
      </c>
      <c r="AN219" s="21" t="str">
        <f t="shared" si="20"/>
        <v>Fredericksburg</v>
      </c>
      <c r="AO219" s="21" t="b">
        <f t="shared" si="22"/>
        <v>1</v>
      </c>
    </row>
    <row r="220" spans="1:41" s="21" customFormat="1" ht="12" customHeight="1" x14ac:dyDescent="0.2">
      <c r="A220" s="1"/>
      <c r="B220" s="1"/>
      <c r="C220" s="1"/>
      <c r="D220" s="23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24"/>
      <c r="AM220" s="41"/>
    </row>
    <row r="221" spans="1:41" s="21" customFormat="1" ht="12" customHeight="1" x14ac:dyDescent="0.2">
      <c r="A221" s="1"/>
      <c r="B221" s="1"/>
      <c r="C221" s="1"/>
      <c r="D221" s="23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 t="s">
        <v>850</v>
      </c>
      <c r="AF221" s="76"/>
      <c r="AG221" s="76"/>
      <c r="AH221" s="76"/>
      <c r="AI221" s="76"/>
      <c r="AJ221" s="76"/>
      <c r="AK221" s="76"/>
      <c r="AL221" s="24"/>
      <c r="AM221" s="41"/>
    </row>
    <row r="222" spans="1:41" s="21" customFormat="1" ht="12" customHeight="1" x14ac:dyDescent="0.2">
      <c r="A222" s="1"/>
      <c r="B222" s="1"/>
      <c r="C222" s="1"/>
      <c r="D222" s="23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24"/>
      <c r="AM222" s="41"/>
    </row>
    <row r="223" spans="1:41" ht="12" customHeight="1" x14ac:dyDescent="0.2">
      <c r="A223" s="1" t="s">
        <v>428</v>
      </c>
      <c r="C223" s="1" t="s">
        <v>427</v>
      </c>
      <c r="D223" s="23"/>
      <c r="E223" s="88">
        <v>370806.18</v>
      </c>
      <c r="F223" s="88"/>
      <c r="G223" s="88">
        <v>500</v>
      </c>
      <c r="H223" s="88"/>
      <c r="I223" s="88">
        <v>1751.62</v>
      </c>
      <c r="J223" s="88"/>
      <c r="K223" s="88">
        <v>3822.42</v>
      </c>
      <c r="L223" s="88"/>
      <c r="M223" s="88">
        <v>6721.98</v>
      </c>
      <c r="N223" s="88"/>
      <c r="O223" s="88">
        <v>148639.45000000001</v>
      </c>
      <c r="P223" s="88"/>
      <c r="Q223" s="88">
        <v>186584.76</v>
      </c>
      <c r="R223" s="88"/>
      <c r="S223" s="88">
        <v>0</v>
      </c>
      <c r="T223" s="88"/>
      <c r="U223" s="88">
        <v>0</v>
      </c>
      <c r="V223" s="88"/>
      <c r="W223" s="88">
        <v>0</v>
      </c>
      <c r="X223" s="88"/>
      <c r="Y223" s="88">
        <v>17089</v>
      </c>
      <c r="Z223" s="88"/>
      <c r="AA223" s="88">
        <v>0</v>
      </c>
      <c r="AB223" s="88"/>
      <c r="AC223" s="88">
        <v>11395.03</v>
      </c>
      <c r="AD223" s="88"/>
      <c r="AE223" s="88">
        <f t="shared" ref="AE223:AE254" si="23">SUM(E223:AC223)</f>
        <v>747310.44</v>
      </c>
      <c r="AF223" s="76"/>
      <c r="AG223" s="76">
        <v>-48934.2</v>
      </c>
      <c r="AH223" s="76"/>
      <c r="AI223" s="76">
        <v>260660.99</v>
      </c>
      <c r="AJ223" s="76"/>
      <c r="AK223" s="76">
        <v>211726.79</v>
      </c>
      <c r="AL223" s="24">
        <f>+'Gen Rev'!AI220-'Gen Exp'!AE223+'Gen Exp'!AI223-AK223</f>
        <v>0</v>
      </c>
      <c r="AM223" s="41" t="str">
        <f>'Gen Rev'!A220</f>
        <v>Fredericktown</v>
      </c>
      <c r="AN223" s="21" t="str">
        <f t="shared" ref="AN223:AN254" si="24">A223</f>
        <v>Fredericktown</v>
      </c>
      <c r="AO223" s="21" t="b">
        <f t="shared" ref="AO223:AO254" si="25">AM223=AN223</f>
        <v>1</v>
      </c>
    </row>
    <row r="224" spans="1:41" s="36" customFormat="1" ht="12" hidden="1" customHeight="1" x14ac:dyDescent="0.2">
      <c r="A224" s="1" t="s">
        <v>405</v>
      </c>
      <c r="B224" s="1"/>
      <c r="C224" s="1" t="s">
        <v>403</v>
      </c>
      <c r="D224" s="21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>
        <f t="shared" si="23"/>
        <v>0</v>
      </c>
      <c r="AF224" s="76"/>
      <c r="AG224" s="76"/>
      <c r="AH224" s="76"/>
      <c r="AI224" s="76"/>
      <c r="AJ224" s="76"/>
      <c r="AK224" s="76"/>
      <c r="AL224" s="24">
        <f>+'Gen Rev'!AI221-'Gen Exp'!AE224+'Gen Exp'!AI224-AK224</f>
        <v>0</v>
      </c>
      <c r="AM224" s="41" t="str">
        <f>'Gen Rev'!A221</f>
        <v>Freeport</v>
      </c>
      <c r="AN224" s="21" t="str">
        <f t="shared" si="24"/>
        <v>Freeport</v>
      </c>
      <c r="AO224" s="21" t="b">
        <f t="shared" si="25"/>
        <v>1</v>
      </c>
    </row>
    <row r="225" spans="1:41" s="21" customFormat="1" ht="12" customHeight="1" x14ac:dyDescent="0.2">
      <c r="A225" s="1" t="s">
        <v>358</v>
      </c>
      <c r="B225" s="1"/>
      <c r="C225" s="1" t="s">
        <v>243</v>
      </c>
      <c r="D225" s="1"/>
      <c r="E225" s="76">
        <v>5204.5</v>
      </c>
      <c r="F225" s="76"/>
      <c r="G225" s="76">
        <v>192.41</v>
      </c>
      <c r="H225" s="76"/>
      <c r="I225" s="76">
        <v>0</v>
      </c>
      <c r="J225" s="76"/>
      <c r="K225" s="76">
        <v>0</v>
      </c>
      <c r="L225" s="76"/>
      <c r="M225" s="76">
        <v>0</v>
      </c>
      <c r="N225" s="76"/>
      <c r="O225" s="76">
        <v>0</v>
      </c>
      <c r="P225" s="76"/>
      <c r="Q225" s="76">
        <v>14935.22</v>
      </c>
      <c r="R225" s="76"/>
      <c r="S225" s="76">
        <v>0</v>
      </c>
      <c r="T225" s="76"/>
      <c r="U225" s="76">
        <v>0</v>
      </c>
      <c r="V225" s="76"/>
      <c r="W225" s="76">
        <v>0</v>
      </c>
      <c r="X225" s="76"/>
      <c r="Y225" s="76">
        <v>0</v>
      </c>
      <c r="Z225" s="76"/>
      <c r="AA225" s="76">
        <v>0</v>
      </c>
      <c r="AB225" s="76"/>
      <c r="AC225" s="76">
        <v>0</v>
      </c>
      <c r="AD225" s="76"/>
      <c r="AE225" s="76">
        <f t="shared" si="23"/>
        <v>20332.129999999997</v>
      </c>
      <c r="AF225" s="76"/>
      <c r="AG225" s="76">
        <v>5906.46</v>
      </c>
      <c r="AH225" s="76"/>
      <c r="AI225" s="76">
        <v>21365.45</v>
      </c>
      <c r="AJ225" s="76"/>
      <c r="AK225" s="76">
        <v>27271.91</v>
      </c>
      <c r="AL225" s="24">
        <f>+'Gen Rev'!AI222-'Gen Exp'!AE225+'Gen Exp'!AI225-AK225</f>
        <v>0</v>
      </c>
      <c r="AM225" s="41" t="str">
        <f>'Gen Rev'!A222</f>
        <v>Fulton</v>
      </c>
      <c r="AN225" s="21" t="str">
        <f t="shared" si="24"/>
        <v>Fulton</v>
      </c>
      <c r="AO225" s="21" t="b">
        <f t="shared" si="25"/>
        <v>1</v>
      </c>
    </row>
    <row r="226" spans="1:41" ht="12" customHeight="1" x14ac:dyDescent="0.2">
      <c r="A226" s="1" t="s">
        <v>485</v>
      </c>
      <c r="C226" s="1" t="s">
        <v>484</v>
      </c>
      <c r="E226" s="76">
        <v>1676.5</v>
      </c>
      <c r="F226" s="76"/>
      <c r="G226" s="76">
        <v>0</v>
      </c>
      <c r="H226" s="76"/>
      <c r="I226" s="76">
        <v>0</v>
      </c>
      <c r="J226" s="76"/>
      <c r="K226" s="76">
        <v>0</v>
      </c>
      <c r="L226" s="76"/>
      <c r="M226" s="76">
        <v>3152.5</v>
      </c>
      <c r="N226" s="76"/>
      <c r="O226" s="76">
        <v>132.1</v>
      </c>
      <c r="P226" s="76"/>
      <c r="Q226" s="76">
        <v>15347.83</v>
      </c>
      <c r="R226" s="76"/>
      <c r="S226" s="76">
        <v>0</v>
      </c>
      <c r="T226" s="76"/>
      <c r="U226" s="76">
        <v>0</v>
      </c>
      <c r="V226" s="76"/>
      <c r="W226" s="76">
        <v>0</v>
      </c>
      <c r="X226" s="76"/>
      <c r="Y226" s="76">
        <v>0</v>
      </c>
      <c r="Z226" s="76"/>
      <c r="AA226" s="76">
        <v>0</v>
      </c>
      <c r="AB226" s="76"/>
      <c r="AC226" s="76">
        <v>0</v>
      </c>
      <c r="AD226" s="76"/>
      <c r="AE226" s="76">
        <f t="shared" si="23"/>
        <v>20308.93</v>
      </c>
      <c r="AF226" s="76"/>
      <c r="AG226" s="76">
        <v>-10547.12</v>
      </c>
      <c r="AH226" s="76"/>
      <c r="AI226" s="76">
        <v>32365.84</v>
      </c>
      <c r="AJ226" s="76"/>
      <c r="AK226" s="76">
        <v>21818.720000000001</v>
      </c>
      <c r="AL226" s="24">
        <f>+'Gen Rev'!AI223-'Gen Exp'!AE226+'Gen Exp'!AI226-AK226</f>
        <v>0</v>
      </c>
      <c r="AM226" s="41" t="str">
        <f>'Gen Rev'!A223</f>
        <v>Fultonham</v>
      </c>
      <c r="AN226" s="21" t="str">
        <f t="shared" si="24"/>
        <v>Fultonham</v>
      </c>
      <c r="AO226" s="21" t="b">
        <f t="shared" si="25"/>
        <v>1</v>
      </c>
    </row>
    <row r="227" spans="1:41" s="10" customFormat="1" ht="12" customHeight="1" x14ac:dyDescent="0.2">
      <c r="A227" s="1" t="s">
        <v>57</v>
      </c>
      <c r="B227" s="1"/>
      <c r="C227" s="1" t="s">
        <v>754</v>
      </c>
      <c r="D227" s="1"/>
      <c r="E227" s="76">
        <v>0</v>
      </c>
      <c r="F227" s="76"/>
      <c r="G227" s="76">
        <v>0</v>
      </c>
      <c r="H227" s="76"/>
      <c r="I227" s="76">
        <v>47475.91</v>
      </c>
      <c r="J227" s="76"/>
      <c r="K227" s="76">
        <v>16292.3</v>
      </c>
      <c r="L227" s="76"/>
      <c r="M227" s="76">
        <v>0</v>
      </c>
      <c r="N227" s="76"/>
      <c r="O227" s="76">
        <v>0</v>
      </c>
      <c r="P227" s="76"/>
      <c r="Q227" s="76">
        <v>328972.84999999998</v>
      </c>
      <c r="R227" s="76"/>
      <c r="S227" s="76">
        <v>0</v>
      </c>
      <c r="T227" s="76"/>
      <c r="U227" s="76">
        <v>10000</v>
      </c>
      <c r="V227" s="76"/>
      <c r="W227" s="76">
        <v>20439.96</v>
      </c>
      <c r="X227" s="76"/>
      <c r="Y227" s="76">
        <v>0</v>
      </c>
      <c r="Z227" s="76"/>
      <c r="AA227" s="76">
        <v>0</v>
      </c>
      <c r="AB227" s="76"/>
      <c r="AC227" s="76">
        <v>0</v>
      </c>
      <c r="AD227" s="76"/>
      <c r="AE227" s="76">
        <f t="shared" si="23"/>
        <v>423181.02</v>
      </c>
      <c r="AF227" s="76"/>
      <c r="AG227" s="76">
        <v>-15187.55</v>
      </c>
      <c r="AH227" s="76"/>
      <c r="AI227" s="76">
        <v>287799.05</v>
      </c>
      <c r="AJ227" s="76"/>
      <c r="AK227" s="76">
        <v>272611.5</v>
      </c>
      <c r="AL227" s="24">
        <f>+'Gen Rev'!AI224-'Gen Exp'!AE227+'Gen Exp'!AI227-AK227</f>
        <v>0</v>
      </c>
      <c r="AM227" s="41" t="str">
        <f>'Gen Rev'!A224</f>
        <v>Galena</v>
      </c>
      <c r="AN227" s="21" t="str">
        <f t="shared" si="24"/>
        <v>Galena</v>
      </c>
      <c r="AO227" s="21" t="b">
        <f t="shared" si="25"/>
        <v>1</v>
      </c>
    </row>
    <row r="228" spans="1:41" s="21" customFormat="1" ht="12" customHeight="1" x14ac:dyDescent="0.2">
      <c r="A228" s="1" t="s">
        <v>363</v>
      </c>
      <c r="B228" s="1"/>
      <c r="C228" s="1" t="s">
        <v>364</v>
      </c>
      <c r="D228" s="1"/>
      <c r="E228" s="76">
        <f>1058629+184622</f>
        <v>1243251</v>
      </c>
      <c r="F228" s="76"/>
      <c r="G228" s="76">
        <v>40946</v>
      </c>
      <c r="H228" s="76"/>
      <c r="I228" s="76">
        <v>115664</v>
      </c>
      <c r="J228" s="76"/>
      <c r="K228" s="76">
        <v>79222</v>
      </c>
      <c r="L228" s="76"/>
      <c r="M228" s="76">
        <v>0</v>
      </c>
      <c r="N228" s="76"/>
      <c r="O228" s="76">
        <v>58342</v>
      </c>
      <c r="P228" s="76"/>
      <c r="Q228" s="76">
        <f>937784+347005</f>
        <v>1284789</v>
      </c>
      <c r="R228" s="76"/>
      <c r="S228" s="76">
        <v>9653</v>
      </c>
      <c r="T228" s="76"/>
      <c r="U228" s="76">
        <v>0</v>
      </c>
      <c r="V228" s="76"/>
      <c r="W228" s="76">
        <v>0</v>
      </c>
      <c r="X228" s="76"/>
      <c r="Y228" s="76">
        <v>813997</v>
      </c>
      <c r="Z228" s="76"/>
      <c r="AA228" s="76">
        <v>88284</v>
      </c>
      <c r="AB228" s="76"/>
      <c r="AC228" s="76">
        <v>0</v>
      </c>
      <c r="AD228" s="76"/>
      <c r="AE228" s="76">
        <f t="shared" si="23"/>
        <v>3734148</v>
      </c>
      <c r="AF228" s="76"/>
      <c r="AG228" s="76">
        <v>-40752</v>
      </c>
      <c r="AH228" s="76"/>
      <c r="AI228" s="76">
        <v>290896</v>
      </c>
      <c r="AJ228" s="76"/>
      <c r="AK228" s="76">
        <v>250144</v>
      </c>
      <c r="AL228" s="24">
        <f>+'Gen Rev'!AI225-'Gen Exp'!AE228+'Gen Exp'!AI228-AK228</f>
        <v>0</v>
      </c>
      <c r="AM228" s="41" t="str">
        <f>'Gen Rev'!A225</f>
        <v>Gallipolis</v>
      </c>
      <c r="AN228" s="21" t="str">
        <f t="shared" si="24"/>
        <v>Gallipolis</v>
      </c>
      <c r="AO228" s="21" t="b">
        <f t="shared" si="25"/>
        <v>1</v>
      </c>
    </row>
    <row r="229" spans="1:41" s="21" customFormat="1" ht="12" customHeight="1" x14ac:dyDescent="0.2">
      <c r="A229" s="1" t="s">
        <v>887</v>
      </c>
      <c r="B229" s="1"/>
      <c r="C229" s="1" t="s">
        <v>771</v>
      </c>
      <c r="D229" s="23"/>
      <c r="E229" s="76">
        <v>153930</v>
      </c>
      <c r="F229" s="76"/>
      <c r="G229" s="76">
        <v>3965</v>
      </c>
      <c r="H229" s="76"/>
      <c r="I229" s="76">
        <v>7192</v>
      </c>
      <c r="J229" s="76"/>
      <c r="K229" s="76">
        <v>3074</v>
      </c>
      <c r="L229" s="76"/>
      <c r="M229" s="76">
        <v>41839</v>
      </c>
      <c r="N229" s="76"/>
      <c r="O229" s="76">
        <v>21129</v>
      </c>
      <c r="P229" s="76"/>
      <c r="Q229" s="76">
        <f>369257+2</f>
        <v>369259</v>
      </c>
      <c r="R229" s="76"/>
      <c r="S229" s="76">
        <v>247913</v>
      </c>
      <c r="T229" s="76"/>
      <c r="U229" s="76">
        <v>0</v>
      </c>
      <c r="V229" s="76"/>
      <c r="W229" s="76">
        <v>0</v>
      </c>
      <c r="X229" s="76"/>
      <c r="Y229" s="76">
        <v>0</v>
      </c>
      <c r="Z229" s="76"/>
      <c r="AA229" s="76">
        <v>0</v>
      </c>
      <c r="AB229" s="76"/>
      <c r="AC229" s="76">
        <v>0</v>
      </c>
      <c r="AD229" s="76"/>
      <c r="AE229" s="76">
        <f t="shared" si="23"/>
        <v>848301</v>
      </c>
      <c r="AF229" s="76"/>
      <c r="AG229" s="76">
        <v>-76951</v>
      </c>
      <c r="AH229" s="76"/>
      <c r="AI229" s="76">
        <v>739369</v>
      </c>
      <c r="AJ229" s="76"/>
      <c r="AK229" s="76">
        <v>662418</v>
      </c>
      <c r="AL229" s="24">
        <f>+'Gen Rev'!AI226-'Gen Exp'!AE229+'Gen Exp'!AI229-AK229</f>
        <v>0</v>
      </c>
      <c r="AM229" s="41" t="str">
        <f>'Gen Rev'!A226</f>
        <v>Gambier</v>
      </c>
      <c r="AN229" s="21" t="str">
        <f t="shared" si="24"/>
        <v>Gambier</v>
      </c>
      <c r="AO229" s="21" t="b">
        <f t="shared" si="25"/>
        <v>1</v>
      </c>
    </row>
    <row r="230" spans="1:41" s="21" customFormat="1" ht="12" hidden="1" customHeight="1" x14ac:dyDescent="0.2">
      <c r="A230" s="1" t="s">
        <v>122</v>
      </c>
      <c r="B230" s="1"/>
      <c r="C230" s="1" t="s">
        <v>427</v>
      </c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>
        <f t="shared" si="23"/>
        <v>0</v>
      </c>
      <c r="AF230" s="76"/>
      <c r="AG230" s="76"/>
      <c r="AH230" s="76"/>
      <c r="AI230" s="76"/>
      <c r="AJ230" s="76"/>
      <c r="AK230" s="76"/>
      <c r="AL230" s="24">
        <f>+'Gen Rev'!AI227-'Gen Exp'!AE230+'Gen Exp'!AI230-AK230</f>
        <v>0</v>
      </c>
      <c r="AM230" s="41" t="str">
        <f>'Gen Rev'!A227</f>
        <v>Gann</v>
      </c>
      <c r="AN230" s="21" t="str">
        <f t="shared" si="24"/>
        <v>Gann</v>
      </c>
      <c r="AO230" s="21" t="b">
        <f t="shared" si="25"/>
        <v>1</v>
      </c>
    </row>
    <row r="231" spans="1:41" ht="12" customHeight="1" x14ac:dyDescent="0.2">
      <c r="A231" s="1" t="s">
        <v>507</v>
      </c>
      <c r="C231" s="1" t="s">
        <v>259</v>
      </c>
      <c r="E231" s="76">
        <v>869710</v>
      </c>
      <c r="F231" s="76"/>
      <c r="G231" s="76">
        <v>0</v>
      </c>
      <c r="H231" s="76"/>
      <c r="I231" s="76">
        <v>63924</v>
      </c>
      <c r="J231" s="76"/>
      <c r="K231" s="76">
        <v>12863</v>
      </c>
      <c r="L231" s="76"/>
      <c r="M231" s="76">
        <v>10428</v>
      </c>
      <c r="N231" s="76"/>
      <c r="O231" s="76">
        <v>1320</v>
      </c>
      <c r="P231" s="76"/>
      <c r="Q231" s="76">
        <v>338965</v>
      </c>
      <c r="R231" s="76"/>
      <c r="S231" s="76">
        <v>46211</v>
      </c>
      <c r="T231" s="76"/>
      <c r="U231" s="76">
        <v>0</v>
      </c>
      <c r="V231" s="76"/>
      <c r="W231" s="76">
        <v>0</v>
      </c>
      <c r="X231" s="76"/>
      <c r="Y231" s="76">
        <v>9236</v>
      </c>
      <c r="Z231" s="76"/>
      <c r="AA231" s="76">
        <v>0</v>
      </c>
      <c r="AB231" s="76"/>
      <c r="AC231" s="76">
        <v>0</v>
      </c>
      <c r="AD231" s="76"/>
      <c r="AE231" s="76">
        <f t="shared" si="23"/>
        <v>1352657</v>
      </c>
      <c r="AF231" s="76"/>
      <c r="AG231" s="76">
        <v>9360</v>
      </c>
      <c r="AH231" s="76"/>
      <c r="AI231" s="76">
        <v>296553</v>
      </c>
      <c r="AJ231" s="76"/>
      <c r="AK231" s="76">
        <v>305913</v>
      </c>
      <c r="AL231" s="24">
        <f>+'Gen Rev'!AI228-'Gen Exp'!AE231+'Gen Exp'!AI231-AK231</f>
        <v>0</v>
      </c>
      <c r="AM231" s="41" t="str">
        <f>'Gen Rev'!A228</f>
        <v>Garrettsville</v>
      </c>
      <c r="AN231" s="21" t="str">
        <f t="shared" si="24"/>
        <v>Garrettsville</v>
      </c>
      <c r="AO231" s="21" t="b">
        <f t="shared" si="25"/>
        <v>1</v>
      </c>
    </row>
    <row r="232" spans="1:41" ht="12" customHeight="1" x14ac:dyDescent="0.2">
      <c r="A232" s="1" t="s">
        <v>320</v>
      </c>
      <c r="C232" s="1" t="s">
        <v>316</v>
      </c>
      <c r="E232" s="76">
        <v>1706262</v>
      </c>
      <c r="F232" s="76"/>
      <c r="G232" s="76">
        <v>0</v>
      </c>
      <c r="H232" s="76"/>
      <c r="I232" s="76">
        <v>20314</v>
      </c>
      <c r="J232" s="76"/>
      <c r="K232" s="76">
        <v>4224</v>
      </c>
      <c r="L232" s="76"/>
      <c r="M232" s="76">
        <v>48161</v>
      </c>
      <c r="N232" s="76"/>
      <c r="O232" s="76">
        <v>672805</v>
      </c>
      <c r="P232" s="76"/>
      <c r="Q232" s="76">
        <v>1259377</v>
      </c>
      <c r="R232" s="76"/>
      <c r="S232" s="76">
        <v>0</v>
      </c>
      <c r="T232" s="76"/>
      <c r="U232" s="76">
        <v>0</v>
      </c>
      <c r="V232" s="76"/>
      <c r="W232" s="76">
        <v>5609</v>
      </c>
      <c r="X232" s="76"/>
      <c r="Y232" s="76">
        <v>619231</v>
      </c>
      <c r="Z232" s="76"/>
      <c r="AA232" s="76">
        <v>0</v>
      </c>
      <c r="AB232" s="76"/>
      <c r="AC232" s="76">
        <v>0</v>
      </c>
      <c r="AD232" s="76"/>
      <c r="AE232" s="76">
        <f t="shared" si="23"/>
        <v>4335983</v>
      </c>
      <c r="AF232" s="76"/>
      <c r="AG232" s="76">
        <v>578763</v>
      </c>
      <c r="AH232" s="76"/>
      <c r="AI232" s="76">
        <v>2061242</v>
      </c>
      <c r="AJ232" s="76"/>
      <c r="AK232" s="76">
        <v>2640005</v>
      </c>
      <c r="AL232" s="24">
        <f>+'Gen Rev'!AI229-'Gen Exp'!AE232+'Gen Exp'!AI232-AK232</f>
        <v>0</v>
      </c>
      <c r="AM232" s="41" t="str">
        <f>'Gen Rev'!A229</f>
        <v>Gates Mills</v>
      </c>
      <c r="AN232" s="21" t="str">
        <f t="shared" si="24"/>
        <v>Gates Mills</v>
      </c>
      <c r="AO232" s="21" t="b">
        <f t="shared" si="25"/>
        <v>1</v>
      </c>
    </row>
    <row r="233" spans="1:41" ht="12" customHeight="1" x14ac:dyDescent="0.2">
      <c r="A233" s="1" t="s">
        <v>269</v>
      </c>
      <c r="C233" s="1" t="s">
        <v>738</v>
      </c>
      <c r="E233" s="76">
        <v>234184.64</v>
      </c>
      <c r="F233" s="76"/>
      <c r="G233" s="76">
        <v>0</v>
      </c>
      <c r="H233" s="76"/>
      <c r="I233" s="76">
        <v>0</v>
      </c>
      <c r="J233" s="76"/>
      <c r="K233" s="76">
        <v>0</v>
      </c>
      <c r="L233" s="76"/>
      <c r="M233" s="76">
        <v>0</v>
      </c>
      <c r="N233" s="76"/>
      <c r="O233" s="76">
        <v>0</v>
      </c>
      <c r="P233" s="76"/>
      <c r="Q233" s="76">
        <v>199593.98</v>
      </c>
      <c r="R233" s="76"/>
      <c r="S233" s="76">
        <v>0</v>
      </c>
      <c r="T233" s="76"/>
      <c r="U233" s="76">
        <v>0</v>
      </c>
      <c r="V233" s="76"/>
      <c r="W233" s="76">
        <v>0</v>
      </c>
      <c r="X233" s="76"/>
      <c r="Y233" s="76">
        <v>37700</v>
      </c>
      <c r="Z233" s="76"/>
      <c r="AA233" s="76">
        <v>25100</v>
      </c>
      <c r="AB233" s="76"/>
      <c r="AC233" s="76">
        <v>0</v>
      </c>
      <c r="AD233" s="76"/>
      <c r="AE233" s="76">
        <f t="shared" si="23"/>
        <v>496578.62</v>
      </c>
      <c r="AF233" s="76"/>
      <c r="AG233" s="76">
        <v>14827.1</v>
      </c>
      <c r="AH233" s="76"/>
      <c r="AI233" s="76">
        <v>62070.06</v>
      </c>
      <c r="AJ233" s="76"/>
      <c r="AK233" s="76">
        <v>76897.16</v>
      </c>
      <c r="AL233" s="24">
        <f>+'Gen Rev'!AI230-'Gen Exp'!AE233+'Gen Exp'!AI233-AK233</f>
        <v>0</v>
      </c>
      <c r="AM233" s="41" t="str">
        <f>'Gen Rev'!A230</f>
        <v>Geneva On The Lake</v>
      </c>
      <c r="AN233" s="21" t="str">
        <f t="shared" si="24"/>
        <v>Geneva On The Lake</v>
      </c>
      <c r="AO233" s="21" t="b">
        <f t="shared" si="25"/>
        <v>1</v>
      </c>
    </row>
    <row r="234" spans="1:41" s="21" customFormat="1" ht="12" customHeight="1" x14ac:dyDescent="0.2">
      <c r="A234" s="1" t="s">
        <v>493</v>
      </c>
      <c r="B234" s="1"/>
      <c r="C234" s="1" t="s">
        <v>207</v>
      </c>
      <c r="D234" s="1"/>
      <c r="E234" s="76">
        <v>415841</v>
      </c>
      <c r="F234" s="76"/>
      <c r="G234" s="76">
        <v>6311</v>
      </c>
      <c r="H234" s="76"/>
      <c r="I234" s="76">
        <v>0</v>
      </c>
      <c r="J234" s="76"/>
      <c r="K234" s="76">
        <v>20962</v>
      </c>
      <c r="L234" s="76"/>
      <c r="M234" s="76">
        <v>0</v>
      </c>
      <c r="N234" s="76"/>
      <c r="O234" s="76">
        <v>0</v>
      </c>
      <c r="P234" s="76"/>
      <c r="Q234" s="76">
        <v>305503</v>
      </c>
      <c r="R234" s="76"/>
      <c r="S234" s="76">
        <v>34174</v>
      </c>
      <c r="T234" s="76"/>
      <c r="U234" s="76">
        <v>0</v>
      </c>
      <c r="V234" s="76"/>
      <c r="W234" s="76">
        <v>0</v>
      </c>
      <c r="X234" s="76"/>
      <c r="Y234" s="76">
        <v>635464</v>
      </c>
      <c r="Z234" s="76"/>
      <c r="AA234" s="76">
        <v>0</v>
      </c>
      <c r="AB234" s="76"/>
      <c r="AC234" s="76">
        <v>1000</v>
      </c>
      <c r="AD234" s="76"/>
      <c r="AE234" s="76">
        <f t="shared" si="23"/>
        <v>1419255</v>
      </c>
      <c r="AF234" s="76"/>
      <c r="AG234" s="76">
        <v>-636886</v>
      </c>
      <c r="AH234" s="76"/>
      <c r="AI234" s="76">
        <v>666927</v>
      </c>
      <c r="AJ234" s="76"/>
      <c r="AK234" s="76">
        <v>30041</v>
      </c>
      <c r="AL234" s="24">
        <f>+'Gen Rev'!AI231-'Gen Exp'!AE234+'Gen Exp'!AI234-AK234</f>
        <v>0</v>
      </c>
      <c r="AM234" s="41" t="str">
        <f>'Gen Rev'!A231</f>
        <v>Genoa</v>
      </c>
      <c r="AN234" s="21" t="str">
        <f t="shared" si="24"/>
        <v>Genoa</v>
      </c>
      <c r="AO234" s="21" t="b">
        <f t="shared" si="25"/>
        <v>1</v>
      </c>
    </row>
    <row r="235" spans="1:41" ht="12" customHeight="1" x14ac:dyDescent="0.2">
      <c r="A235" s="1" t="s">
        <v>22</v>
      </c>
      <c r="C235" s="1" t="s">
        <v>742</v>
      </c>
      <c r="D235" s="23"/>
      <c r="E235" s="76">
        <v>680921.77</v>
      </c>
      <c r="F235" s="76"/>
      <c r="G235" s="76">
        <v>10963</v>
      </c>
      <c r="H235" s="76"/>
      <c r="I235" s="76">
        <v>0</v>
      </c>
      <c r="J235" s="76"/>
      <c r="K235" s="76">
        <v>24563.98</v>
      </c>
      <c r="L235" s="76"/>
      <c r="M235" s="76">
        <v>0</v>
      </c>
      <c r="N235" s="76"/>
      <c r="O235" s="76">
        <v>0</v>
      </c>
      <c r="P235" s="76"/>
      <c r="Q235" s="76">
        <v>262474.28000000003</v>
      </c>
      <c r="R235" s="76"/>
      <c r="S235" s="76">
        <v>100286.27</v>
      </c>
      <c r="T235" s="76"/>
      <c r="U235" s="76">
        <v>17860.84</v>
      </c>
      <c r="V235" s="76"/>
      <c r="W235" s="76">
        <v>2097.6799999999998</v>
      </c>
      <c r="X235" s="76"/>
      <c r="Y235" s="76">
        <v>0</v>
      </c>
      <c r="Z235" s="76"/>
      <c r="AA235" s="76">
        <v>0</v>
      </c>
      <c r="AB235" s="76"/>
      <c r="AC235" s="76">
        <v>5539.98</v>
      </c>
      <c r="AD235" s="76"/>
      <c r="AE235" s="76">
        <f t="shared" si="23"/>
        <v>1104707.8</v>
      </c>
      <c r="AF235" s="76"/>
      <c r="AG235" s="76">
        <v>-331055.31</v>
      </c>
      <c r="AH235" s="76"/>
      <c r="AI235" s="76">
        <v>1217347.97</v>
      </c>
      <c r="AJ235" s="76"/>
      <c r="AK235" s="76">
        <v>886292.66</v>
      </c>
      <c r="AL235" s="24">
        <f>+'Gen Rev'!AI232-'Gen Exp'!AE235+'Gen Exp'!AI235-AK235</f>
        <v>0</v>
      </c>
      <c r="AM235" s="41" t="str">
        <f>'Gen Rev'!A232</f>
        <v>Georgetown</v>
      </c>
      <c r="AN235" s="21" t="str">
        <f t="shared" si="24"/>
        <v>Georgetown</v>
      </c>
      <c r="AO235" s="21" t="b">
        <f t="shared" si="25"/>
        <v>1</v>
      </c>
    </row>
    <row r="236" spans="1:41" ht="12" hidden="1" customHeight="1" x14ac:dyDescent="0.2">
      <c r="A236" s="1" t="s">
        <v>480</v>
      </c>
      <c r="C236" s="1" t="s">
        <v>786</v>
      </c>
      <c r="D236" s="21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>
        <f t="shared" si="23"/>
        <v>0</v>
      </c>
      <c r="AF236" s="76"/>
      <c r="AG236" s="76"/>
      <c r="AH236" s="76"/>
      <c r="AI236" s="76"/>
      <c r="AJ236" s="76"/>
      <c r="AK236" s="76"/>
      <c r="AL236" s="24">
        <f>+'Gen Rev'!AI233-'Gen Exp'!AE236+'Gen Exp'!AI236-AK236</f>
        <v>0</v>
      </c>
      <c r="AM236" s="41" t="str">
        <f>'Gen Rev'!A233</f>
        <v>Germantown</v>
      </c>
      <c r="AN236" s="21" t="str">
        <f t="shared" si="24"/>
        <v>Germantown</v>
      </c>
      <c r="AO236" s="21" t="b">
        <f t="shared" si="25"/>
        <v>1</v>
      </c>
    </row>
    <row r="237" spans="1:41" s="21" customFormat="1" ht="12" customHeight="1" x14ac:dyDescent="0.2">
      <c r="A237" s="1" t="s">
        <v>52</v>
      </c>
      <c r="B237" s="1"/>
      <c r="C237" s="1" t="s">
        <v>752</v>
      </c>
      <c r="D237" s="1"/>
      <c r="E237" s="76">
        <v>32192.73</v>
      </c>
      <c r="F237" s="76"/>
      <c r="G237" s="76">
        <v>1919</v>
      </c>
      <c r="H237" s="76"/>
      <c r="I237" s="76">
        <v>306.64999999999998</v>
      </c>
      <c r="J237" s="76"/>
      <c r="K237" s="76">
        <v>2509.04</v>
      </c>
      <c r="L237" s="76"/>
      <c r="M237" s="76">
        <v>0</v>
      </c>
      <c r="N237" s="76"/>
      <c r="O237" s="76">
        <v>17552.25</v>
      </c>
      <c r="P237" s="76"/>
      <c r="Q237" s="76">
        <v>37324.93</v>
      </c>
      <c r="R237" s="76"/>
      <c r="S237" s="76">
        <v>0</v>
      </c>
      <c r="T237" s="76"/>
      <c r="U237" s="76">
        <v>0</v>
      </c>
      <c r="V237" s="76"/>
      <c r="W237" s="76">
        <v>0</v>
      </c>
      <c r="X237" s="76"/>
      <c r="Y237" s="76">
        <v>0</v>
      </c>
      <c r="Z237" s="76"/>
      <c r="AA237" s="76">
        <v>22000</v>
      </c>
      <c r="AB237" s="76"/>
      <c r="AC237" s="76">
        <v>0</v>
      </c>
      <c r="AD237" s="76"/>
      <c r="AE237" s="76">
        <f t="shared" si="23"/>
        <v>113804.6</v>
      </c>
      <c r="AF237" s="76"/>
      <c r="AG237" s="76">
        <v>-40375.760000000002</v>
      </c>
      <c r="AH237" s="76"/>
      <c r="AI237" s="76">
        <v>67852.460000000006</v>
      </c>
      <c r="AJ237" s="76"/>
      <c r="AK237" s="76">
        <v>27476.7</v>
      </c>
      <c r="AL237" s="24">
        <f>+'Gen Rev'!AI234-'Gen Exp'!AE237+'Gen Exp'!AI237-AK237</f>
        <v>0</v>
      </c>
      <c r="AM237" s="41" t="str">
        <f>'Gen Rev'!A234</f>
        <v>Gettysburg</v>
      </c>
      <c r="AN237" s="21" t="str">
        <f t="shared" si="24"/>
        <v>Gettysburg</v>
      </c>
      <c r="AO237" s="21" t="b">
        <f t="shared" si="25"/>
        <v>1</v>
      </c>
    </row>
    <row r="238" spans="1:41" s="19" customFormat="1" ht="12" customHeight="1" x14ac:dyDescent="0.2">
      <c r="A238" s="1" t="s">
        <v>526</v>
      </c>
      <c r="B238" s="1"/>
      <c r="C238" s="1" t="s">
        <v>525</v>
      </c>
      <c r="D238" s="23"/>
      <c r="E238" s="76">
        <v>422530.48</v>
      </c>
      <c r="F238" s="76"/>
      <c r="G238" s="76">
        <v>1240.5999999999999</v>
      </c>
      <c r="H238" s="76"/>
      <c r="I238" s="76">
        <v>40483.839999999997</v>
      </c>
      <c r="J238" s="76"/>
      <c r="K238" s="76">
        <v>36182.550000000003</v>
      </c>
      <c r="L238" s="76"/>
      <c r="M238" s="76">
        <v>0</v>
      </c>
      <c r="N238" s="76"/>
      <c r="O238" s="76">
        <v>0</v>
      </c>
      <c r="P238" s="76"/>
      <c r="Q238" s="76">
        <v>236199.78</v>
      </c>
      <c r="R238" s="76"/>
      <c r="S238" s="76">
        <v>94342.26</v>
      </c>
      <c r="T238" s="76"/>
      <c r="U238" s="76">
        <v>0</v>
      </c>
      <c r="V238" s="76"/>
      <c r="W238" s="76">
        <v>0</v>
      </c>
      <c r="X238" s="76"/>
      <c r="Y238" s="76">
        <v>105019.98</v>
      </c>
      <c r="Z238" s="76"/>
      <c r="AA238" s="76">
        <v>0</v>
      </c>
      <c r="AB238" s="76"/>
      <c r="AC238" s="76">
        <v>0</v>
      </c>
      <c r="AD238" s="76"/>
      <c r="AE238" s="76">
        <f t="shared" si="23"/>
        <v>935999.48999999987</v>
      </c>
      <c r="AF238" s="76"/>
      <c r="AG238" s="76">
        <v>-19380.02</v>
      </c>
      <c r="AH238" s="76"/>
      <c r="AI238" s="76">
        <v>993915.91</v>
      </c>
      <c r="AJ238" s="76"/>
      <c r="AK238" s="76">
        <v>974535.89</v>
      </c>
      <c r="AL238" s="24">
        <f>+'Gen Rev'!AI238-'Gen Exp'!AE238+'Gen Exp'!AI238-AK238</f>
        <v>0</v>
      </c>
      <c r="AM238" s="41" t="str">
        <f>'Gen Rev'!A238</f>
        <v>Gibsonburg</v>
      </c>
      <c r="AN238" s="21" t="str">
        <f t="shared" si="24"/>
        <v>Gibsonburg</v>
      </c>
      <c r="AO238" s="21" t="b">
        <f t="shared" si="25"/>
        <v>1</v>
      </c>
    </row>
    <row r="239" spans="1:41" ht="12" customHeight="1" x14ac:dyDescent="0.2">
      <c r="A239" s="1" t="s">
        <v>205</v>
      </c>
      <c r="C239" s="1" t="s">
        <v>797</v>
      </c>
      <c r="E239" s="76">
        <v>11695.94</v>
      </c>
      <c r="F239" s="76"/>
      <c r="G239" s="76">
        <v>0</v>
      </c>
      <c r="H239" s="76"/>
      <c r="I239" s="76">
        <v>15081.96</v>
      </c>
      <c r="J239" s="76"/>
      <c r="K239" s="76">
        <v>0</v>
      </c>
      <c r="L239" s="76"/>
      <c r="M239" s="76">
        <v>8365.4500000000007</v>
      </c>
      <c r="N239" s="76"/>
      <c r="O239" s="76">
        <v>0</v>
      </c>
      <c r="P239" s="76"/>
      <c r="Q239" s="76">
        <v>34270.81</v>
      </c>
      <c r="R239" s="76"/>
      <c r="S239" s="76">
        <v>0</v>
      </c>
      <c r="T239" s="76"/>
      <c r="U239" s="76">
        <v>0</v>
      </c>
      <c r="V239" s="76"/>
      <c r="W239" s="76">
        <v>0</v>
      </c>
      <c r="X239" s="76"/>
      <c r="Y239" s="76">
        <v>0</v>
      </c>
      <c r="Z239" s="76"/>
      <c r="AA239" s="76">
        <v>0</v>
      </c>
      <c r="AB239" s="76"/>
      <c r="AC239" s="76">
        <v>0</v>
      </c>
      <c r="AD239" s="76"/>
      <c r="AE239" s="76">
        <f t="shared" si="23"/>
        <v>69414.16</v>
      </c>
      <c r="AF239" s="76"/>
      <c r="AG239" s="76">
        <v>-11255.38</v>
      </c>
      <c r="AH239" s="76"/>
      <c r="AI239" s="76">
        <v>151613.95000000001</v>
      </c>
      <c r="AJ239" s="76"/>
      <c r="AK239" s="76">
        <v>140358.57</v>
      </c>
      <c r="AL239" s="24">
        <f>+'Gen Rev'!AI239-'Gen Exp'!AE239+'Gen Exp'!AI239-AK239</f>
        <v>0</v>
      </c>
      <c r="AM239" s="41" t="str">
        <f>'Gen Rev'!A239</f>
        <v>Gilboa</v>
      </c>
      <c r="AN239" s="21" t="str">
        <f t="shared" si="24"/>
        <v>Gilboa</v>
      </c>
      <c r="AO239" s="21" t="b">
        <f t="shared" si="25"/>
        <v>1</v>
      </c>
    </row>
    <row r="240" spans="1:41" ht="12" customHeight="1" x14ac:dyDescent="0.2">
      <c r="A240" s="1" t="s">
        <v>515</v>
      </c>
      <c r="C240" s="1" t="s">
        <v>513</v>
      </c>
      <c r="D240" s="23"/>
      <c r="E240" s="76">
        <v>79895.88</v>
      </c>
      <c r="F240" s="76"/>
      <c r="G240" s="76">
        <v>4854.8599999999997</v>
      </c>
      <c r="H240" s="76"/>
      <c r="I240" s="76">
        <v>17878.3</v>
      </c>
      <c r="J240" s="76"/>
      <c r="K240" s="76">
        <v>1316</v>
      </c>
      <c r="L240" s="76"/>
      <c r="M240" s="76">
        <v>57729.99</v>
      </c>
      <c r="N240" s="76"/>
      <c r="O240" s="76">
        <v>7000</v>
      </c>
      <c r="P240" s="76"/>
      <c r="Q240" s="76">
        <v>160242.03</v>
      </c>
      <c r="R240" s="76"/>
      <c r="S240" s="76">
        <v>0</v>
      </c>
      <c r="T240" s="76"/>
      <c r="U240" s="76">
        <v>0</v>
      </c>
      <c r="V240" s="76"/>
      <c r="W240" s="76">
        <v>0</v>
      </c>
      <c r="X240" s="76"/>
      <c r="Y240" s="76">
        <v>50000</v>
      </c>
      <c r="Z240" s="76"/>
      <c r="AA240" s="76">
        <v>0</v>
      </c>
      <c r="AB240" s="76"/>
      <c r="AC240" s="76">
        <v>0</v>
      </c>
      <c r="AD240" s="76"/>
      <c r="AE240" s="76">
        <f t="shared" si="23"/>
        <v>378917.06</v>
      </c>
      <c r="AF240" s="76"/>
      <c r="AG240" s="76">
        <v>29551.69</v>
      </c>
      <c r="AH240" s="76"/>
      <c r="AI240" s="76">
        <v>277391.92</v>
      </c>
      <c r="AJ240" s="76"/>
      <c r="AK240" s="76">
        <v>306943.61</v>
      </c>
      <c r="AL240" s="24">
        <f>+'Gen Rev'!AI240-'Gen Exp'!AE240+'Gen Exp'!AI240-AK240</f>
        <v>0</v>
      </c>
      <c r="AM240" s="41" t="str">
        <f>'Gen Rev'!A240</f>
        <v>Glandorf</v>
      </c>
      <c r="AN240" s="21" t="str">
        <f t="shared" si="24"/>
        <v>Glandorf</v>
      </c>
      <c r="AO240" s="21" t="b">
        <f t="shared" si="25"/>
        <v>1</v>
      </c>
    </row>
    <row r="241" spans="1:41" ht="12" customHeight="1" x14ac:dyDescent="0.2">
      <c r="A241" s="1" t="s">
        <v>381</v>
      </c>
      <c r="C241" s="1" t="s">
        <v>378</v>
      </c>
      <c r="E241" s="76">
        <v>1010594</v>
      </c>
      <c r="F241" s="76"/>
      <c r="G241" s="76">
        <v>5970</v>
      </c>
      <c r="H241" s="76"/>
      <c r="I241" s="76">
        <v>28342</v>
      </c>
      <c r="J241" s="76"/>
      <c r="K241" s="76">
        <v>1636</v>
      </c>
      <c r="L241" s="76"/>
      <c r="M241" s="76">
        <v>353450</v>
      </c>
      <c r="N241" s="76"/>
      <c r="O241" s="76">
        <v>232898</v>
      </c>
      <c r="P241" s="76"/>
      <c r="Q241" s="76">
        <v>475933</v>
      </c>
      <c r="R241" s="76"/>
      <c r="S241" s="76">
        <v>0</v>
      </c>
      <c r="T241" s="76"/>
      <c r="U241" s="76">
        <v>0</v>
      </c>
      <c r="V241" s="76"/>
      <c r="W241" s="76">
        <v>0</v>
      </c>
      <c r="X241" s="76"/>
      <c r="Y241" s="76">
        <v>43700</v>
      </c>
      <c r="Z241" s="76"/>
      <c r="AA241" s="76">
        <v>1500</v>
      </c>
      <c r="AB241" s="76"/>
      <c r="AC241" s="76">
        <v>0</v>
      </c>
      <c r="AD241" s="76"/>
      <c r="AE241" s="76">
        <f t="shared" si="23"/>
        <v>2154023</v>
      </c>
      <c r="AF241" s="76"/>
      <c r="AG241" s="76">
        <v>92624</v>
      </c>
      <c r="AH241" s="76"/>
      <c r="AI241" s="76">
        <v>1366851</v>
      </c>
      <c r="AJ241" s="76"/>
      <c r="AK241" s="76">
        <v>1459475</v>
      </c>
      <c r="AL241" s="24">
        <f>+'Gen Rev'!AI241-'Gen Exp'!AE241+'Gen Exp'!AI241-AK241</f>
        <v>0</v>
      </c>
      <c r="AM241" s="41" t="str">
        <f>'Gen Rev'!A241</f>
        <v>Glendale</v>
      </c>
      <c r="AN241" s="21" t="str">
        <f t="shared" si="24"/>
        <v>Glendale</v>
      </c>
      <c r="AO241" s="21" t="b">
        <f t="shared" si="25"/>
        <v>1</v>
      </c>
    </row>
    <row r="242" spans="1:41" ht="12" customHeight="1" x14ac:dyDescent="0.2">
      <c r="A242" s="1" t="s">
        <v>501</v>
      </c>
      <c r="C242" s="1" t="s">
        <v>500</v>
      </c>
      <c r="E242" s="76">
        <v>2397</v>
      </c>
      <c r="F242" s="76"/>
      <c r="G242" s="76">
        <v>0</v>
      </c>
      <c r="H242" s="76"/>
      <c r="I242" s="76">
        <v>0</v>
      </c>
      <c r="J242" s="76"/>
      <c r="K242" s="76">
        <v>0</v>
      </c>
      <c r="L242" s="76"/>
      <c r="M242" s="76">
        <v>0</v>
      </c>
      <c r="N242" s="76"/>
      <c r="O242" s="76">
        <v>0</v>
      </c>
      <c r="P242" s="76"/>
      <c r="Q242" s="76">
        <v>15899</v>
      </c>
      <c r="R242" s="76"/>
      <c r="S242" s="76">
        <v>0</v>
      </c>
      <c r="T242" s="76"/>
      <c r="U242" s="76">
        <v>0</v>
      </c>
      <c r="V242" s="76"/>
      <c r="W242" s="76">
        <v>0</v>
      </c>
      <c r="X242" s="76"/>
      <c r="Y242" s="76">
        <v>0</v>
      </c>
      <c r="Z242" s="76"/>
      <c r="AA242" s="76">
        <v>0</v>
      </c>
      <c r="AB242" s="76"/>
      <c r="AC242" s="76">
        <v>0</v>
      </c>
      <c r="AD242" s="76"/>
      <c r="AE242" s="76">
        <f t="shared" si="23"/>
        <v>18296</v>
      </c>
      <c r="AF242" s="76"/>
      <c r="AG242" s="76">
        <v>2096</v>
      </c>
      <c r="AH242" s="76"/>
      <c r="AI242" s="76">
        <f>AK242-AG242</f>
        <v>3490</v>
      </c>
      <c r="AJ242" s="76"/>
      <c r="AK242" s="76">
        <v>5586</v>
      </c>
      <c r="AL242" s="24">
        <f>+'Gen Rev'!AI242-'Gen Exp'!AE242+'Gen Exp'!AI242-AK242</f>
        <v>0</v>
      </c>
      <c r="AM242" s="41" t="str">
        <f>'Gen Rev'!A242</f>
        <v>Glenford</v>
      </c>
      <c r="AN242" s="21" t="str">
        <f t="shared" si="24"/>
        <v>Glenford</v>
      </c>
      <c r="AO242" s="21" t="b">
        <f t="shared" si="25"/>
        <v>1</v>
      </c>
    </row>
    <row r="243" spans="1:41" ht="12" customHeight="1" x14ac:dyDescent="0.2">
      <c r="A243" s="1" t="s">
        <v>851</v>
      </c>
      <c r="C243" s="1" t="s">
        <v>412</v>
      </c>
      <c r="E243" s="76">
        <v>22536</v>
      </c>
      <c r="F243" s="76"/>
      <c r="G243" s="76">
        <v>0</v>
      </c>
      <c r="H243" s="76"/>
      <c r="I243" s="76">
        <v>0</v>
      </c>
      <c r="J243" s="76"/>
      <c r="K243" s="76">
        <v>0</v>
      </c>
      <c r="L243" s="76"/>
      <c r="M243" s="76">
        <v>900</v>
      </c>
      <c r="N243" s="76"/>
      <c r="O243" s="76">
        <v>0</v>
      </c>
      <c r="P243" s="76"/>
      <c r="Q243" s="76">
        <v>25304</v>
      </c>
      <c r="R243" s="76"/>
      <c r="S243" s="76">
        <v>0</v>
      </c>
      <c r="T243" s="76"/>
      <c r="U243" s="76">
        <v>0</v>
      </c>
      <c r="V243" s="76"/>
      <c r="W243" s="76">
        <v>0</v>
      </c>
      <c r="X243" s="76"/>
      <c r="Y243" s="76">
        <v>0</v>
      </c>
      <c r="Z243" s="76"/>
      <c r="AA243" s="76">
        <v>0</v>
      </c>
      <c r="AB243" s="76"/>
      <c r="AC243" s="76">
        <v>0</v>
      </c>
      <c r="AD243" s="76"/>
      <c r="AE243" s="76">
        <f t="shared" si="23"/>
        <v>48740</v>
      </c>
      <c r="AF243" s="76"/>
      <c r="AG243" s="76">
        <v>-2462</v>
      </c>
      <c r="AH243" s="76"/>
      <c r="AI243" s="76">
        <f>AK243-AG243</f>
        <v>10699</v>
      </c>
      <c r="AJ243" s="76"/>
      <c r="AK243" s="76">
        <v>8237</v>
      </c>
      <c r="AL243" s="24">
        <f>+'Gen Rev'!AI243-'Gen Exp'!AE243+'Gen Exp'!AI243-AK243</f>
        <v>0</v>
      </c>
      <c r="AM243" s="41" t="str">
        <f>'Gen Rev'!A243</f>
        <v>Glenmont</v>
      </c>
      <c r="AN243" s="21" t="str">
        <f t="shared" si="24"/>
        <v>Glenmont</v>
      </c>
      <c r="AO243" s="21" t="b">
        <f t="shared" si="25"/>
        <v>1</v>
      </c>
    </row>
    <row r="244" spans="1:41" s="21" customFormat="1" ht="12" customHeight="1" x14ac:dyDescent="0.2">
      <c r="A244" s="1" t="s">
        <v>49</v>
      </c>
      <c r="B244" s="1"/>
      <c r="C244" s="1" t="s">
        <v>751</v>
      </c>
      <c r="D244" s="10"/>
      <c r="E244" s="76">
        <v>1092630.49</v>
      </c>
      <c r="F244" s="76"/>
      <c r="G244" s="76">
        <v>11392.07</v>
      </c>
      <c r="H244" s="76"/>
      <c r="I244" s="76">
        <v>0</v>
      </c>
      <c r="J244" s="76"/>
      <c r="K244" s="76">
        <v>164624.76</v>
      </c>
      <c r="L244" s="76"/>
      <c r="M244" s="76">
        <v>0</v>
      </c>
      <c r="N244" s="76"/>
      <c r="O244" s="76">
        <v>0</v>
      </c>
      <c r="P244" s="76"/>
      <c r="Q244" s="76">
        <v>1486691.7</v>
      </c>
      <c r="R244" s="76"/>
      <c r="S244" s="76">
        <v>0</v>
      </c>
      <c r="T244" s="76"/>
      <c r="U244" s="76">
        <v>0</v>
      </c>
      <c r="V244" s="76"/>
      <c r="W244" s="76">
        <v>0</v>
      </c>
      <c r="X244" s="76"/>
      <c r="Y244" s="76">
        <v>274800</v>
      </c>
      <c r="Z244" s="76"/>
      <c r="AA244" s="76">
        <v>0</v>
      </c>
      <c r="AB244" s="76"/>
      <c r="AC244" s="76">
        <v>0</v>
      </c>
      <c r="AD244" s="76"/>
      <c r="AE244" s="76">
        <f t="shared" si="23"/>
        <v>3030139.02</v>
      </c>
      <c r="AF244" s="76"/>
      <c r="AG244" s="76">
        <v>-134783.45000000001</v>
      </c>
      <c r="AH244" s="76"/>
      <c r="AI244" s="76">
        <v>1319314.45</v>
      </c>
      <c r="AJ244" s="76"/>
      <c r="AK244" s="76">
        <v>1184531</v>
      </c>
      <c r="AL244" s="24">
        <f>+'Gen Rev'!AI244-'Gen Exp'!AE244+'Gen Exp'!AI244-AK244</f>
        <v>0</v>
      </c>
      <c r="AM244" s="41" t="str">
        <f>'Gen Rev'!A244</f>
        <v>Glenwillow</v>
      </c>
      <c r="AN244" s="21" t="str">
        <f t="shared" si="24"/>
        <v>Glenwillow</v>
      </c>
      <c r="AO244" s="21" t="b">
        <f t="shared" si="25"/>
        <v>1</v>
      </c>
    </row>
    <row r="245" spans="1:41" ht="12" customHeight="1" x14ac:dyDescent="0.2">
      <c r="A245" s="1" t="s">
        <v>153</v>
      </c>
      <c r="C245" s="1" t="s">
        <v>781</v>
      </c>
      <c r="D245" s="23"/>
      <c r="E245" s="76">
        <v>12194.19</v>
      </c>
      <c r="F245" s="76"/>
      <c r="G245" s="76">
        <v>4370</v>
      </c>
      <c r="H245" s="76"/>
      <c r="I245" s="76">
        <v>1024.68</v>
      </c>
      <c r="J245" s="76"/>
      <c r="K245" s="76">
        <v>3809.88</v>
      </c>
      <c r="L245" s="76"/>
      <c r="M245" s="76">
        <v>0</v>
      </c>
      <c r="N245" s="76"/>
      <c r="O245" s="76">
        <v>0</v>
      </c>
      <c r="P245" s="76"/>
      <c r="Q245" s="76">
        <v>43787.96</v>
      </c>
      <c r="R245" s="76"/>
      <c r="S245" s="76">
        <v>9879.5400000000009</v>
      </c>
      <c r="T245" s="76"/>
      <c r="U245" s="76">
        <v>0</v>
      </c>
      <c r="V245" s="76"/>
      <c r="W245" s="76">
        <v>0</v>
      </c>
      <c r="X245" s="76"/>
      <c r="Y245" s="76">
        <v>0</v>
      </c>
      <c r="Z245" s="76"/>
      <c r="AA245" s="76">
        <v>0</v>
      </c>
      <c r="AB245" s="76"/>
      <c r="AC245" s="76">
        <v>0</v>
      </c>
      <c r="AD245" s="76"/>
      <c r="AE245" s="76">
        <f t="shared" si="23"/>
        <v>75066.25</v>
      </c>
      <c r="AF245" s="76"/>
      <c r="AG245" s="76">
        <v>11821.92</v>
      </c>
      <c r="AH245" s="76"/>
      <c r="AI245" s="76">
        <v>145999.97</v>
      </c>
      <c r="AJ245" s="76"/>
      <c r="AK245" s="76">
        <v>157821.89000000001</v>
      </c>
      <c r="AL245" s="24">
        <f>+'Gen Rev'!AI245-'Gen Exp'!AE245+'Gen Exp'!AI245-AK245</f>
        <v>0</v>
      </c>
      <c r="AM245" s="41" t="str">
        <f>'Gen Rev'!A245</f>
        <v>Gloria Glens Park</v>
      </c>
      <c r="AN245" s="21" t="str">
        <f t="shared" si="24"/>
        <v>Gloria Glens Park</v>
      </c>
      <c r="AO245" s="21" t="b">
        <f t="shared" si="25"/>
        <v>1</v>
      </c>
    </row>
    <row r="246" spans="1:41" s="21" customFormat="1" ht="12" customHeight="1" x14ac:dyDescent="0.2">
      <c r="A246" s="1" t="s">
        <v>10</v>
      </c>
      <c r="B246" s="1"/>
      <c r="C246" s="1" t="s">
        <v>739</v>
      </c>
      <c r="D246" s="23"/>
      <c r="E246" s="76">
        <v>115499.89</v>
      </c>
      <c r="F246" s="76"/>
      <c r="G246" s="76">
        <v>0</v>
      </c>
      <c r="H246" s="76"/>
      <c r="I246" s="76">
        <v>0</v>
      </c>
      <c r="J246" s="76"/>
      <c r="K246" s="76">
        <v>0</v>
      </c>
      <c r="L246" s="76"/>
      <c r="M246" s="76">
        <v>0</v>
      </c>
      <c r="N246" s="76"/>
      <c r="O246" s="76">
        <v>0</v>
      </c>
      <c r="P246" s="76"/>
      <c r="Q246" s="76">
        <v>58227.34</v>
      </c>
      <c r="R246" s="76"/>
      <c r="S246" s="76">
        <v>0</v>
      </c>
      <c r="T246" s="76"/>
      <c r="U246" s="76">
        <v>9656.81</v>
      </c>
      <c r="V246" s="76"/>
      <c r="W246" s="76">
        <v>172.86</v>
      </c>
      <c r="X246" s="76"/>
      <c r="Y246" s="76">
        <v>0</v>
      </c>
      <c r="Z246" s="76"/>
      <c r="AA246" s="76">
        <v>0</v>
      </c>
      <c r="AB246" s="76"/>
      <c r="AC246" s="76">
        <v>0</v>
      </c>
      <c r="AD246" s="76"/>
      <c r="AE246" s="76">
        <f t="shared" si="23"/>
        <v>183556.89999999997</v>
      </c>
      <c r="AF246" s="76"/>
      <c r="AG246" s="76">
        <v>67706.58</v>
      </c>
      <c r="AH246" s="76"/>
      <c r="AI246" s="76">
        <v>10695.21</v>
      </c>
      <c r="AJ246" s="76"/>
      <c r="AK246" s="76">
        <v>78401.789999999994</v>
      </c>
      <c r="AL246" s="24">
        <f>+'Gen Rev'!AI246-'Gen Exp'!AE246+'Gen Exp'!AI246-AK246</f>
        <v>0</v>
      </c>
      <c r="AM246" s="41" t="str">
        <f>'Gen Rev'!A246</f>
        <v>Glouster</v>
      </c>
      <c r="AN246" s="21" t="str">
        <f t="shared" si="24"/>
        <v>Glouster</v>
      </c>
      <c r="AO246" s="21" t="b">
        <f t="shared" si="25"/>
        <v>1</v>
      </c>
    </row>
    <row r="247" spans="1:41" ht="12" customHeight="1" x14ac:dyDescent="0.2">
      <c r="A247" s="1" t="s">
        <v>563</v>
      </c>
      <c r="C247" s="1" t="s">
        <v>560</v>
      </c>
      <c r="E247" s="76">
        <v>59195</v>
      </c>
      <c r="F247" s="76"/>
      <c r="G247" s="76">
        <v>684</v>
      </c>
      <c r="H247" s="76"/>
      <c r="I247" s="76">
        <v>12218</v>
      </c>
      <c r="J247" s="76"/>
      <c r="K247" s="76">
        <v>924</v>
      </c>
      <c r="L247" s="76"/>
      <c r="M247" s="76">
        <v>199049</v>
      </c>
      <c r="N247" s="76"/>
      <c r="O247" s="76">
        <v>37812</v>
      </c>
      <c r="P247" s="76"/>
      <c r="Q247" s="76">
        <v>61512</v>
      </c>
      <c r="R247" s="76"/>
      <c r="S247" s="76">
        <v>25161</v>
      </c>
      <c r="T247" s="76"/>
      <c r="U247" s="76">
        <v>21600</v>
      </c>
      <c r="V247" s="76"/>
      <c r="W247" s="76">
        <v>0</v>
      </c>
      <c r="X247" s="76"/>
      <c r="Y247" s="76">
        <v>0</v>
      </c>
      <c r="Z247" s="76"/>
      <c r="AA247" s="76">
        <v>0</v>
      </c>
      <c r="AB247" s="76"/>
      <c r="AC247" s="76">
        <v>0</v>
      </c>
      <c r="AD247" s="76"/>
      <c r="AE247" s="76">
        <f t="shared" si="23"/>
        <v>418155</v>
      </c>
      <c r="AF247" s="76"/>
      <c r="AG247" s="76">
        <v>49503</v>
      </c>
      <c r="AH247" s="76"/>
      <c r="AI247" s="76">
        <f>AK247-AG247</f>
        <v>40229</v>
      </c>
      <c r="AJ247" s="76"/>
      <c r="AK247" s="76">
        <v>89732</v>
      </c>
      <c r="AL247" s="24">
        <f>+'Gen Rev'!AI247-'Gen Exp'!AE247+'Gen Exp'!AI247-AK247</f>
        <v>0</v>
      </c>
      <c r="AM247" s="41" t="str">
        <f>'Gen Rev'!A247</f>
        <v>Gnadenhutten</v>
      </c>
      <c r="AN247" s="21" t="str">
        <f t="shared" si="24"/>
        <v>Gnadenhutten</v>
      </c>
      <c r="AO247" s="21" t="b">
        <f t="shared" si="25"/>
        <v>1</v>
      </c>
    </row>
    <row r="248" spans="1:41" s="21" customFormat="1" ht="12" customHeight="1" x14ac:dyDescent="0.2">
      <c r="A248" s="1" t="s">
        <v>382</v>
      </c>
      <c r="B248" s="1"/>
      <c r="C248" s="1" t="s">
        <v>378</v>
      </c>
      <c r="D248" s="1"/>
      <c r="E248" s="76">
        <v>1239693</v>
      </c>
      <c r="F248" s="76"/>
      <c r="G248" s="76">
        <v>1435</v>
      </c>
      <c r="H248" s="76"/>
      <c r="I248" s="76">
        <v>0</v>
      </c>
      <c r="J248" s="76"/>
      <c r="K248" s="76">
        <v>22439</v>
      </c>
      <c r="L248" s="76"/>
      <c r="M248" s="76">
        <v>246374</v>
      </c>
      <c r="N248" s="76"/>
      <c r="O248" s="76">
        <v>0</v>
      </c>
      <c r="P248" s="76"/>
      <c r="Q248" s="76">
        <f>979166-1</f>
        <v>979165</v>
      </c>
      <c r="R248" s="76"/>
      <c r="S248" s="76">
        <v>0</v>
      </c>
      <c r="T248" s="76"/>
      <c r="U248" s="76">
        <v>12831</v>
      </c>
      <c r="V248" s="76"/>
      <c r="W248" s="76">
        <v>0</v>
      </c>
      <c r="X248" s="76"/>
      <c r="Y248" s="76">
        <v>0</v>
      </c>
      <c r="Z248" s="76"/>
      <c r="AA248" s="76">
        <v>0</v>
      </c>
      <c r="AB248" s="76"/>
      <c r="AC248" s="76">
        <v>0</v>
      </c>
      <c r="AD248" s="76"/>
      <c r="AE248" s="76">
        <f t="shared" si="23"/>
        <v>2501937</v>
      </c>
      <c r="AF248" s="76"/>
      <c r="AG248" s="76">
        <v>-81625</v>
      </c>
      <c r="AH248" s="76"/>
      <c r="AI248" s="76">
        <v>125304</v>
      </c>
      <c r="AJ248" s="76"/>
      <c r="AK248" s="76">
        <v>43680</v>
      </c>
      <c r="AL248" s="24">
        <f>+'Gen Rev'!AI248-'Gen Exp'!AE248+'Gen Exp'!AI248-AK248</f>
        <v>0</v>
      </c>
      <c r="AM248" s="41" t="str">
        <f>'Gen Rev'!A248</f>
        <v>Golf Manor</v>
      </c>
      <c r="AN248" s="21" t="str">
        <f t="shared" si="24"/>
        <v>Golf Manor</v>
      </c>
      <c r="AO248" s="21" t="b">
        <f t="shared" si="25"/>
        <v>1</v>
      </c>
    </row>
    <row r="249" spans="1:41" s="21" customFormat="1" ht="12" customHeight="1" x14ac:dyDescent="0.2">
      <c r="A249" s="15" t="s">
        <v>331</v>
      </c>
      <c r="B249" s="15"/>
      <c r="C249" s="15" t="s">
        <v>329</v>
      </c>
      <c r="D249" s="23"/>
      <c r="E249" s="76">
        <v>9565.77</v>
      </c>
      <c r="F249" s="76"/>
      <c r="G249" s="76">
        <v>10.6</v>
      </c>
      <c r="H249" s="76"/>
      <c r="I249" s="76">
        <v>4135.01</v>
      </c>
      <c r="J249" s="76"/>
      <c r="K249" s="76">
        <v>0</v>
      </c>
      <c r="L249" s="76"/>
      <c r="M249" s="76">
        <v>15196.49</v>
      </c>
      <c r="N249" s="76"/>
      <c r="O249" s="76">
        <v>0</v>
      </c>
      <c r="P249" s="76"/>
      <c r="Q249" s="76">
        <v>20552.25</v>
      </c>
      <c r="R249" s="76"/>
      <c r="S249" s="76">
        <v>0</v>
      </c>
      <c r="T249" s="76"/>
      <c r="U249" s="76">
        <v>0</v>
      </c>
      <c r="V249" s="76"/>
      <c r="W249" s="76">
        <v>0</v>
      </c>
      <c r="X249" s="76"/>
      <c r="Y249" s="76">
        <v>0</v>
      </c>
      <c r="Z249" s="76"/>
      <c r="AA249" s="76">
        <v>0</v>
      </c>
      <c r="AB249" s="76"/>
      <c r="AC249" s="76">
        <v>1182.82</v>
      </c>
      <c r="AD249" s="76"/>
      <c r="AE249" s="76">
        <f t="shared" si="23"/>
        <v>50642.94</v>
      </c>
      <c r="AF249" s="76"/>
      <c r="AG249" s="76">
        <v>-19685.29</v>
      </c>
      <c r="AH249" s="76"/>
      <c r="AI249" s="76">
        <v>54100.54</v>
      </c>
      <c r="AJ249" s="76"/>
      <c r="AK249" s="76">
        <v>34415.25</v>
      </c>
      <c r="AL249" s="24">
        <f>+'Gen Rev'!AI249-'Gen Exp'!AE249+'Gen Exp'!AI249-AK249</f>
        <v>0</v>
      </c>
      <c r="AM249" s="41" t="str">
        <f>'Gen Rev'!A249</f>
        <v>Gordon</v>
      </c>
      <c r="AN249" s="21" t="str">
        <f t="shared" si="24"/>
        <v>Gordon</v>
      </c>
      <c r="AO249" s="21" t="b">
        <f t="shared" si="25"/>
        <v>1</v>
      </c>
    </row>
    <row r="250" spans="1:41" s="21" customFormat="1" ht="12" customHeight="1" x14ac:dyDescent="0.2">
      <c r="A250" s="1" t="s">
        <v>450</v>
      </c>
      <c r="B250" s="1"/>
      <c r="C250" s="1" t="s">
        <v>451</v>
      </c>
      <c r="D250" s="1"/>
      <c r="E250" s="76">
        <v>718149</v>
      </c>
      <c r="F250" s="76"/>
      <c r="G250" s="76">
        <v>58514</v>
      </c>
      <c r="H250" s="76"/>
      <c r="I250" s="76">
        <v>20936</v>
      </c>
      <c r="J250" s="76"/>
      <c r="K250" s="76">
        <v>2970</v>
      </c>
      <c r="L250" s="76"/>
      <c r="M250" s="76">
        <v>195697</v>
      </c>
      <c r="N250" s="76"/>
      <c r="O250" s="76">
        <v>0</v>
      </c>
      <c r="P250" s="76"/>
      <c r="Q250" s="76">
        <v>556916</v>
      </c>
      <c r="R250" s="76"/>
      <c r="S250" s="76">
        <v>0</v>
      </c>
      <c r="T250" s="76"/>
      <c r="U250" s="76">
        <v>0</v>
      </c>
      <c r="V250" s="76"/>
      <c r="W250" s="76">
        <v>0</v>
      </c>
      <c r="X250" s="76"/>
      <c r="Y250" s="76">
        <v>148300</v>
      </c>
      <c r="Z250" s="76"/>
      <c r="AA250" s="76">
        <v>0</v>
      </c>
      <c r="AB250" s="76"/>
      <c r="AC250" s="76">
        <v>0</v>
      </c>
      <c r="AD250" s="76"/>
      <c r="AE250" s="76">
        <f t="shared" si="23"/>
        <v>1701482</v>
      </c>
      <c r="AF250" s="76"/>
      <c r="AG250" s="76">
        <v>29638</v>
      </c>
      <c r="AH250" s="76"/>
      <c r="AI250" s="76">
        <v>1426395</v>
      </c>
      <c r="AJ250" s="76"/>
      <c r="AK250" s="76">
        <v>1456033</v>
      </c>
      <c r="AL250" s="24">
        <f>+'Gen Rev'!AI250-'Gen Exp'!AE250+'Gen Exp'!AI250-AK250</f>
        <v>0</v>
      </c>
      <c r="AM250" s="41" t="str">
        <f>'Gen Rev'!A250</f>
        <v>Grafton</v>
      </c>
      <c r="AN250" s="21" t="str">
        <f t="shared" si="24"/>
        <v>Grafton</v>
      </c>
      <c r="AO250" s="21" t="b">
        <f t="shared" si="25"/>
        <v>1</v>
      </c>
    </row>
    <row r="251" spans="1:41" s="21" customFormat="1" ht="12" customHeight="1" x14ac:dyDescent="0.2">
      <c r="A251" s="1" t="s">
        <v>255</v>
      </c>
      <c r="B251" s="1"/>
      <c r="C251" s="1" t="s">
        <v>601</v>
      </c>
      <c r="D251" s="23"/>
      <c r="E251" s="76">
        <v>83103.34</v>
      </c>
      <c r="F251" s="76"/>
      <c r="G251" s="76">
        <v>804.66</v>
      </c>
      <c r="H251" s="76"/>
      <c r="I251" s="76">
        <v>25930.21</v>
      </c>
      <c r="J251" s="76"/>
      <c r="K251" s="76">
        <v>3063.25</v>
      </c>
      <c r="L251" s="76"/>
      <c r="M251" s="76">
        <v>12923.5</v>
      </c>
      <c r="N251" s="76"/>
      <c r="O251" s="76">
        <v>3424.7</v>
      </c>
      <c r="P251" s="76"/>
      <c r="Q251" s="76">
        <v>112430.53</v>
      </c>
      <c r="R251" s="76"/>
      <c r="S251" s="76">
        <v>0</v>
      </c>
      <c r="T251" s="76"/>
      <c r="U251" s="76">
        <v>0</v>
      </c>
      <c r="V251" s="76"/>
      <c r="W251" s="76">
        <v>0</v>
      </c>
      <c r="X251" s="76"/>
      <c r="Y251" s="76">
        <v>0</v>
      </c>
      <c r="Z251" s="76"/>
      <c r="AA251" s="76">
        <v>0</v>
      </c>
      <c r="AB251" s="76"/>
      <c r="AC251" s="76">
        <v>9231.94</v>
      </c>
      <c r="AD251" s="76"/>
      <c r="AE251" s="76">
        <f t="shared" si="23"/>
        <v>250912.13</v>
      </c>
      <c r="AF251" s="76"/>
      <c r="AG251" s="76">
        <v>68720.23</v>
      </c>
      <c r="AH251" s="76"/>
      <c r="AI251" s="76">
        <v>459543.33</v>
      </c>
      <c r="AJ251" s="76"/>
      <c r="AK251" s="76">
        <v>528263.56000000006</v>
      </c>
      <c r="AL251" s="24">
        <f>+'Gen Rev'!AI251-'Gen Exp'!AE251+'Gen Exp'!AI251-AK251</f>
        <v>0</v>
      </c>
      <c r="AM251" s="41" t="str">
        <f>'Gen Rev'!A251</f>
        <v>Grand Rapids</v>
      </c>
      <c r="AN251" s="21" t="str">
        <f t="shared" si="24"/>
        <v>Grand Rapids</v>
      </c>
      <c r="AO251" s="21" t="b">
        <f t="shared" si="25"/>
        <v>1</v>
      </c>
    </row>
    <row r="252" spans="1:41" ht="12" customHeight="1" x14ac:dyDescent="0.2">
      <c r="A252" s="1" t="s">
        <v>431</v>
      </c>
      <c r="C252" s="1" t="s">
        <v>430</v>
      </c>
      <c r="E252" s="76">
        <v>333687</v>
      </c>
      <c r="F252" s="76"/>
      <c r="G252" s="76">
        <v>4088</v>
      </c>
      <c r="H252" s="76"/>
      <c r="I252" s="76">
        <v>795</v>
      </c>
      <c r="J252" s="76"/>
      <c r="K252" s="76">
        <v>5270</v>
      </c>
      <c r="L252" s="76"/>
      <c r="M252" s="76">
        <v>0</v>
      </c>
      <c r="N252" s="76"/>
      <c r="O252" s="76">
        <v>17483</v>
      </c>
      <c r="P252" s="76"/>
      <c r="Q252" s="76">
        <f>109265-1</f>
        <v>109264</v>
      </c>
      <c r="R252" s="76"/>
      <c r="S252" s="76">
        <v>0</v>
      </c>
      <c r="T252" s="76"/>
      <c r="U252" s="76">
        <v>0</v>
      </c>
      <c r="V252" s="76"/>
      <c r="W252" s="76">
        <v>0</v>
      </c>
      <c r="X252" s="76"/>
      <c r="Y252" s="76">
        <v>0</v>
      </c>
      <c r="Z252" s="76"/>
      <c r="AA252" s="76">
        <v>0</v>
      </c>
      <c r="AB252" s="76"/>
      <c r="AC252" s="76">
        <v>0</v>
      </c>
      <c r="AD252" s="76"/>
      <c r="AE252" s="76">
        <f t="shared" si="23"/>
        <v>470587</v>
      </c>
      <c r="AF252" s="76"/>
      <c r="AG252" s="76">
        <v>-24280</v>
      </c>
      <c r="AH252" s="76"/>
      <c r="AI252" s="76">
        <v>151547</v>
      </c>
      <c r="AJ252" s="76"/>
      <c r="AK252" s="76">
        <v>127267</v>
      </c>
      <c r="AL252" s="24">
        <f>+'Gen Rev'!AI252-'Gen Exp'!AE252+'Gen Exp'!AI252-AK252</f>
        <v>0</v>
      </c>
      <c r="AM252" s="41" t="str">
        <f>'Gen Rev'!A252</f>
        <v>Grand River</v>
      </c>
      <c r="AN252" s="21" t="str">
        <f t="shared" si="24"/>
        <v>Grand River</v>
      </c>
      <c r="AO252" s="21" t="b">
        <f t="shared" si="25"/>
        <v>1</v>
      </c>
    </row>
    <row r="253" spans="1:41" ht="12" customHeight="1" x14ac:dyDescent="0.2">
      <c r="A253" s="1" t="s">
        <v>438</v>
      </c>
      <c r="C253" s="1" t="s">
        <v>439</v>
      </c>
      <c r="E253" s="76">
        <v>1114194</v>
      </c>
      <c r="F253" s="76"/>
      <c r="G253" s="76">
        <v>27151</v>
      </c>
      <c r="H253" s="76"/>
      <c r="I253" s="76">
        <v>0</v>
      </c>
      <c r="J253" s="76"/>
      <c r="K253" s="76">
        <v>67946</v>
      </c>
      <c r="L253" s="76"/>
      <c r="M253" s="76">
        <v>0</v>
      </c>
      <c r="N253" s="76"/>
      <c r="O253" s="76">
        <v>673420</v>
      </c>
      <c r="P253" s="76"/>
      <c r="Q253" s="76">
        <v>1065733</v>
      </c>
      <c r="R253" s="76"/>
      <c r="S253" s="76">
        <v>65074</v>
      </c>
      <c r="T253" s="76"/>
      <c r="U253" s="76">
        <v>30986</v>
      </c>
      <c r="V253" s="76"/>
      <c r="W253" s="76">
        <v>0</v>
      </c>
      <c r="X253" s="76"/>
      <c r="Y253" s="76">
        <v>297200</v>
      </c>
      <c r="Z253" s="76"/>
      <c r="AA253" s="76">
        <v>0</v>
      </c>
      <c r="AB253" s="76"/>
      <c r="AC253" s="76">
        <v>0</v>
      </c>
      <c r="AD253" s="76"/>
      <c r="AE253" s="76">
        <f t="shared" si="23"/>
        <v>3341704</v>
      </c>
      <c r="AF253" s="76"/>
      <c r="AG253" s="76">
        <v>605778</v>
      </c>
      <c r="AH253" s="76"/>
      <c r="AI253" s="76">
        <v>1632831</v>
      </c>
      <c r="AJ253" s="76"/>
      <c r="AK253" s="76">
        <v>2238609</v>
      </c>
      <c r="AL253" s="24">
        <f>+'Gen Rev'!AI253-'Gen Exp'!AE253+'Gen Exp'!AI253-AK253</f>
        <v>0</v>
      </c>
      <c r="AM253" s="41" t="str">
        <f>'Gen Rev'!A253</f>
        <v>Granville</v>
      </c>
      <c r="AN253" s="21" t="str">
        <f t="shared" si="24"/>
        <v>Granville</v>
      </c>
      <c r="AO253" s="21" t="b">
        <f t="shared" si="25"/>
        <v>1</v>
      </c>
    </row>
    <row r="254" spans="1:41" s="21" customFormat="1" ht="12" customHeight="1" x14ac:dyDescent="0.2">
      <c r="A254" s="1" t="s">
        <v>440</v>
      </c>
      <c r="B254" s="1"/>
      <c r="C254" s="1" t="s">
        <v>439</v>
      </c>
      <c r="D254" s="1"/>
      <c r="E254" s="76">
        <v>5080</v>
      </c>
      <c r="F254" s="76"/>
      <c r="G254" s="76">
        <v>222</v>
      </c>
      <c r="H254" s="76"/>
      <c r="I254" s="76">
        <v>0</v>
      </c>
      <c r="J254" s="76"/>
      <c r="K254" s="76">
        <v>0</v>
      </c>
      <c r="L254" s="76"/>
      <c r="M254" s="76">
        <v>1097</v>
      </c>
      <c r="N254" s="76"/>
      <c r="O254" s="76">
        <v>0</v>
      </c>
      <c r="P254" s="76"/>
      <c r="Q254" s="76">
        <v>18456</v>
      </c>
      <c r="R254" s="76"/>
      <c r="S254" s="76">
        <v>0</v>
      </c>
      <c r="T254" s="76"/>
      <c r="U254" s="76">
        <v>0</v>
      </c>
      <c r="V254" s="76"/>
      <c r="W254" s="76">
        <v>0</v>
      </c>
      <c r="X254" s="76"/>
      <c r="Y254" s="76">
        <v>0</v>
      </c>
      <c r="Z254" s="76"/>
      <c r="AA254" s="76">
        <v>0</v>
      </c>
      <c r="AB254" s="76"/>
      <c r="AC254" s="76">
        <v>0</v>
      </c>
      <c r="AD254" s="76"/>
      <c r="AE254" s="76">
        <f t="shared" si="23"/>
        <v>24855</v>
      </c>
      <c r="AF254" s="76"/>
      <c r="AG254" s="76">
        <v>-7731</v>
      </c>
      <c r="AH254" s="76"/>
      <c r="AI254" s="76">
        <v>26492</v>
      </c>
      <c r="AJ254" s="76"/>
      <c r="AK254" s="76">
        <v>18761</v>
      </c>
      <c r="AL254" s="24">
        <f>+'Gen Rev'!AI254-'Gen Exp'!AE254+'Gen Exp'!AI254-AK254</f>
        <v>0</v>
      </c>
      <c r="AM254" s="41" t="str">
        <f>'Gen Rev'!A254</f>
        <v>Gratiot</v>
      </c>
      <c r="AN254" s="21" t="str">
        <f t="shared" si="24"/>
        <v>Gratiot</v>
      </c>
      <c r="AO254" s="21" t="b">
        <f t="shared" si="25"/>
        <v>1</v>
      </c>
    </row>
    <row r="255" spans="1:41" s="21" customFormat="1" ht="12" customHeight="1" x14ac:dyDescent="0.2">
      <c r="A255" s="1" t="s">
        <v>201</v>
      </c>
      <c r="B255" s="1"/>
      <c r="C255" s="1" t="s">
        <v>796</v>
      </c>
      <c r="D255" s="15"/>
      <c r="E255" s="76">
        <v>63951.24</v>
      </c>
      <c r="F255" s="76"/>
      <c r="G255" s="76">
        <v>0</v>
      </c>
      <c r="H255" s="76"/>
      <c r="I255" s="76">
        <v>0</v>
      </c>
      <c r="J255" s="76"/>
      <c r="K255" s="76">
        <v>0</v>
      </c>
      <c r="L255" s="76"/>
      <c r="M255" s="76">
        <v>0</v>
      </c>
      <c r="N255" s="76"/>
      <c r="O255" s="76">
        <v>0</v>
      </c>
      <c r="P255" s="76"/>
      <c r="Q255" s="76">
        <v>45200.92</v>
      </c>
      <c r="R255" s="76"/>
      <c r="S255" s="76">
        <v>0</v>
      </c>
      <c r="T255" s="76"/>
      <c r="U255" s="76">
        <v>735.68</v>
      </c>
      <c r="V255" s="76"/>
      <c r="W255" s="76">
        <v>48.58</v>
      </c>
      <c r="X255" s="76"/>
      <c r="Y255" s="76">
        <v>0</v>
      </c>
      <c r="Z255" s="76"/>
      <c r="AA255" s="76">
        <v>0</v>
      </c>
      <c r="AB255" s="76"/>
      <c r="AC255" s="76">
        <v>0</v>
      </c>
      <c r="AD255" s="76"/>
      <c r="AE255" s="76">
        <f t="shared" ref="AE255:AE286" si="26">SUM(E255:AC255)</f>
        <v>109936.42</v>
      </c>
      <c r="AF255" s="76"/>
      <c r="AG255" s="76">
        <v>18182.86</v>
      </c>
      <c r="AH255" s="76"/>
      <c r="AI255" s="76">
        <v>-29378.75</v>
      </c>
      <c r="AJ255" s="76"/>
      <c r="AK255" s="76">
        <v>-11195.89</v>
      </c>
      <c r="AL255" s="24">
        <f>+'Gen Rev'!AI255-'Gen Exp'!AE255+'Gen Exp'!AI255-AK255</f>
        <v>1.4551915228366852E-11</v>
      </c>
      <c r="AM255" s="41" t="str">
        <f>'Gen Rev'!A255</f>
        <v>Gratis</v>
      </c>
      <c r="AN255" s="21" t="str">
        <f t="shared" ref="AN255:AN286" si="27">A255</f>
        <v>Gratis</v>
      </c>
      <c r="AO255" s="21" t="b">
        <f t="shared" ref="AO255:AO286" si="28">AM255=AN255</f>
        <v>1</v>
      </c>
    </row>
    <row r="256" spans="1:41" s="21" customFormat="1" ht="12" customHeight="1" x14ac:dyDescent="0.2">
      <c r="A256" s="1" t="s">
        <v>475</v>
      </c>
      <c r="B256" s="1"/>
      <c r="C256" s="1" t="s">
        <v>474</v>
      </c>
      <c r="D256" s="1"/>
      <c r="E256" s="76">
        <v>1588</v>
      </c>
      <c r="F256" s="76"/>
      <c r="G256" s="76">
        <v>1301</v>
      </c>
      <c r="H256" s="76"/>
      <c r="I256" s="76">
        <v>0</v>
      </c>
      <c r="J256" s="76"/>
      <c r="K256" s="76">
        <v>0</v>
      </c>
      <c r="L256" s="76"/>
      <c r="M256" s="76">
        <v>0</v>
      </c>
      <c r="N256" s="76"/>
      <c r="O256" s="76">
        <v>0</v>
      </c>
      <c r="P256" s="76"/>
      <c r="Q256" s="76">
        <f>3775+1</f>
        <v>3776</v>
      </c>
      <c r="R256" s="76"/>
      <c r="S256" s="76">
        <v>0</v>
      </c>
      <c r="T256" s="76"/>
      <c r="U256" s="76">
        <v>0</v>
      </c>
      <c r="V256" s="76"/>
      <c r="W256" s="76">
        <v>0</v>
      </c>
      <c r="X256" s="76"/>
      <c r="Y256" s="76">
        <v>0</v>
      </c>
      <c r="Z256" s="76"/>
      <c r="AA256" s="76">
        <v>0</v>
      </c>
      <c r="AB256" s="76"/>
      <c r="AC256" s="76">
        <v>0</v>
      </c>
      <c r="AD256" s="76"/>
      <c r="AE256" s="76">
        <f t="shared" si="26"/>
        <v>6665</v>
      </c>
      <c r="AF256" s="76"/>
      <c r="AG256" s="76">
        <v>511</v>
      </c>
      <c r="AH256" s="76"/>
      <c r="AI256" s="76">
        <v>441</v>
      </c>
      <c r="AJ256" s="76"/>
      <c r="AK256" s="76">
        <v>952</v>
      </c>
      <c r="AL256" s="24">
        <f>+'Gen Rev'!AI256-'Gen Exp'!AE256+'Gen Exp'!AI256-AK256</f>
        <v>0</v>
      </c>
      <c r="AM256" s="41" t="str">
        <f>'Gen Rev'!A256</f>
        <v>Graysville</v>
      </c>
      <c r="AN256" s="21" t="str">
        <f t="shared" si="27"/>
        <v>Graysville</v>
      </c>
      <c r="AO256" s="21" t="b">
        <f t="shared" si="28"/>
        <v>1</v>
      </c>
    </row>
    <row r="257" spans="1:41" ht="12" customHeight="1" x14ac:dyDescent="0.2">
      <c r="A257" s="1" t="s">
        <v>148</v>
      </c>
      <c r="C257" s="1" t="s">
        <v>463</v>
      </c>
      <c r="D257" s="23"/>
      <c r="E257" s="76">
        <v>2920.75</v>
      </c>
      <c r="F257" s="76"/>
      <c r="G257" s="76">
        <v>3542.74</v>
      </c>
      <c r="H257" s="76"/>
      <c r="I257" s="76">
        <v>0</v>
      </c>
      <c r="J257" s="76"/>
      <c r="K257" s="76">
        <v>0</v>
      </c>
      <c r="L257" s="76"/>
      <c r="M257" s="76">
        <v>13436.67</v>
      </c>
      <c r="N257" s="76"/>
      <c r="O257" s="76">
        <v>2055.63</v>
      </c>
      <c r="P257" s="76"/>
      <c r="Q257" s="76">
        <v>30296.68</v>
      </c>
      <c r="R257" s="76"/>
      <c r="S257" s="76">
        <v>0</v>
      </c>
      <c r="T257" s="76"/>
      <c r="U257" s="76">
        <v>0</v>
      </c>
      <c r="V257" s="76"/>
      <c r="W257" s="76">
        <v>0</v>
      </c>
      <c r="X257" s="76"/>
      <c r="Y257" s="76">
        <v>0</v>
      </c>
      <c r="Z257" s="76"/>
      <c r="AA257" s="76">
        <v>0</v>
      </c>
      <c r="AB257" s="76"/>
      <c r="AC257" s="76">
        <v>5800</v>
      </c>
      <c r="AD257" s="76"/>
      <c r="AE257" s="76">
        <f t="shared" si="26"/>
        <v>58052.47</v>
      </c>
      <c r="AF257" s="76"/>
      <c r="AG257" s="76">
        <v>-17406.689999999999</v>
      </c>
      <c r="AH257" s="76"/>
      <c r="AI257" s="76">
        <v>40411.599999999999</v>
      </c>
      <c r="AJ257" s="76"/>
      <c r="AK257" s="76">
        <v>23004.91</v>
      </c>
      <c r="AL257" s="24">
        <f>+'Gen Rev'!AI257-'Gen Exp'!AE257+'Gen Exp'!AI257-AK257</f>
        <v>0</v>
      </c>
      <c r="AM257" s="41" t="str">
        <f>'Gen Rev'!A257</f>
        <v>Green Camp</v>
      </c>
      <c r="AN257" s="21" t="str">
        <f t="shared" si="27"/>
        <v>Green Camp</v>
      </c>
      <c r="AO257" s="21" t="b">
        <f t="shared" si="28"/>
        <v>1</v>
      </c>
    </row>
    <row r="258" spans="1:41" ht="12" customHeight="1" x14ac:dyDescent="0.2">
      <c r="A258" s="1" t="s">
        <v>219</v>
      </c>
      <c r="C258" s="1" t="s">
        <v>802</v>
      </c>
      <c r="D258" s="23"/>
      <c r="E258" s="76">
        <v>56782.97</v>
      </c>
      <c r="F258" s="76"/>
      <c r="G258" s="76">
        <v>12657.13</v>
      </c>
      <c r="H258" s="76"/>
      <c r="I258" s="76">
        <v>14622.07</v>
      </c>
      <c r="J258" s="76"/>
      <c r="K258" s="76">
        <v>1928.15</v>
      </c>
      <c r="L258" s="76"/>
      <c r="M258" s="76">
        <v>2191</v>
      </c>
      <c r="N258" s="76"/>
      <c r="O258" s="76">
        <v>49589.57</v>
      </c>
      <c r="P258" s="76"/>
      <c r="Q258" s="76">
        <v>127572.49</v>
      </c>
      <c r="R258" s="76"/>
      <c r="S258" s="76">
        <v>21866.47</v>
      </c>
      <c r="T258" s="76"/>
      <c r="U258" s="76">
        <v>0</v>
      </c>
      <c r="V258" s="76"/>
      <c r="W258" s="76">
        <v>0</v>
      </c>
      <c r="X258" s="76"/>
      <c r="Y258" s="76">
        <v>81500</v>
      </c>
      <c r="Z258" s="76"/>
      <c r="AA258" s="76">
        <v>0</v>
      </c>
      <c r="AB258" s="76"/>
      <c r="AC258" s="76">
        <v>85.61</v>
      </c>
      <c r="AD258" s="76"/>
      <c r="AE258" s="76">
        <f t="shared" si="26"/>
        <v>368795.45999999996</v>
      </c>
      <c r="AF258" s="76"/>
      <c r="AG258" s="76">
        <v>45538.67</v>
      </c>
      <c r="AH258" s="76"/>
      <c r="AI258" s="76">
        <v>492472</v>
      </c>
      <c r="AJ258" s="76"/>
      <c r="AK258" s="76">
        <v>538010.67000000004</v>
      </c>
      <c r="AL258" s="24">
        <f>+'Gen Rev'!AI258-'Gen Exp'!AE258+'Gen Exp'!AI258-AK258</f>
        <v>0</v>
      </c>
      <c r="AM258" s="41" t="str">
        <f>'Gen Rev'!A258</f>
        <v>Green Springs</v>
      </c>
      <c r="AN258" s="21" t="str">
        <f t="shared" si="27"/>
        <v>Green Springs</v>
      </c>
      <c r="AO258" s="21" t="b">
        <f t="shared" si="28"/>
        <v>1</v>
      </c>
    </row>
    <row r="259" spans="1:41" ht="12" customHeight="1" x14ac:dyDescent="0.2">
      <c r="A259" s="10" t="s">
        <v>946</v>
      </c>
      <c r="B259" s="10"/>
      <c r="C259" s="10" t="s">
        <v>409</v>
      </c>
      <c r="D259" s="49"/>
      <c r="E259" s="76">
        <v>774377</v>
      </c>
      <c r="F259" s="76"/>
      <c r="G259" s="76">
        <v>8555</v>
      </c>
      <c r="H259" s="76"/>
      <c r="I259" s="76">
        <v>0</v>
      </c>
      <c r="J259" s="76"/>
      <c r="K259" s="76">
        <v>0</v>
      </c>
      <c r="L259" s="76"/>
      <c r="M259" s="76">
        <v>48332</v>
      </c>
      <c r="N259" s="76"/>
      <c r="O259" s="76">
        <v>0</v>
      </c>
      <c r="P259" s="76"/>
      <c r="Q259" s="76">
        <v>285181</v>
      </c>
      <c r="R259" s="76"/>
      <c r="S259" s="76">
        <v>176689</v>
      </c>
      <c r="T259" s="76"/>
      <c r="U259" s="76">
        <v>5000</v>
      </c>
      <c r="V259" s="76"/>
      <c r="W259" s="76">
        <v>650</v>
      </c>
      <c r="X259" s="76"/>
      <c r="Y259" s="76">
        <v>77919</v>
      </c>
      <c r="Z259" s="76"/>
      <c r="AA259" s="76">
        <v>0</v>
      </c>
      <c r="AB259" s="76"/>
      <c r="AC259" s="76">
        <v>0</v>
      </c>
      <c r="AD259" s="76"/>
      <c r="AE259" s="76">
        <f t="shared" si="26"/>
        <v>1376703</v>
      </c>
      <c r="AF259" s="76"/>
      <c r="AG259" s="76">
        <v>-47309</v>
      </c>
      <c r="AH259" s="76"/>
      <c r="AI259" s="76">
        <v>566951</v>
      </c>
      <c r="AJ259" s="76"/>
      <c r="AK259" s="76">
        <v>519642</v>
      </c>
      <c r="AL259" s="24">
        <f>+'Gen Rev'!AI259-'Gen Exp'!AE259+'Gen Exp'!AI259-AK259</f>
        <v>0</v>
      </c>
      <c r="AM259" s="41" t="str">
        <f>'Gen Rev'!A259</f>
        <v>Greenfield</v>
      </c>
      <c r="AN259" s="21" t="str">
        <f t="shared" si="27"/>
        <v>Greenfield</v>
      </c>
      <c r="AO259" s="21" t="b">
        <f t="shared" si="28"/>
        <v>1</v>
      </c>
    </row>
    <row r="260" spans="1:41" s="10" customFormat="1" ht="12" customHeight="1" x14ac:dyDescent="0.2">
      <c r="A260" s="1" t="s">
        <v>94</v>
      </c>
      <c r="B260" s="1"/>
      <c r="C260" s="1" t="s">
        <v>763</v>
      </c>
      <c r="D260" s="23"/>
      <c r="E260" s="76">
        <v>227369.86</v>
      </c>
      <c r="F260" s="76"/>
      <c r="G260" s="76">
        <v>0</v>
      </c>
      <c r="H260" s="76"/>
      <c r="I260" s="76">
        <v>0</v>
      </c>
      <c r="J260" s="76"/>
      <c r="K260" s="76">
        <v>72199.92</v>
      </c>
      <c r="L260" s="76"/>
      <c r="M260" s="76">
        <v>204940.87</v>
      </c>
      <c r="N260" s="76"/>
      <c r="O260" s="76">
        <v>0</v>
      </c>
      <c r="P260" s="76"/>
      <c r="Q260" s="76">
        <v>922979.57</v>
      </c>
      <c r="R260" s="76"/>
      <c r="S260" s="76">
        <v>0</v>
      </c>
      <c r="T260" s="76"/>
      <c r="U260" s="76">
        <v>0</v>
      </c>
      <c r="V260" s="76"/>
      <c r="W260" s="76">
        <v>0</v>
      </c>
      <c r="X260" s="76"/>
      <c r="Y260" s="76">
        <v>363175</v>
      </c>
      <c r="Z260" s="76"/>
      <c r="AA260" s="76">
        <v>45000</v>
      </c>
      <c r="AB260" s="76"/>
      <c r="AC260" s="76">
        <v>0</v>
      </c>
      <c r="AD260" s="76"/>
      <c r="AE260" s="76">
        <f t="shared" si="26"/>
        <v>1835665.22</v>
      </c>
      <c r="AF260" s="76"/>
      <c r="AG260" s="76">
        <v>472271.9</v>
      </c>
      <c r="AH260" s="76"/>
      <c r="AI260" s="76">
        <v>509937.04</v>
      </c>
      <c r="AJ260" s="76"/>
      <c r="AK260" s="76">
        <v>982208.94</v>
      </c>
      <c r="AL260" s="24">
        <f>+'Gen Rev'!AI260-'Gen Exp'!AE260+'Gen Exp'!AI260-AK260</f>
        <v>0</v>
      </c>
      <c r="AM260" s="41" t="str">
        <f>'Gen Rev'!A260</f>
        <v>Greenhills</v>
      </c>
      <c r="AN260" s="21" t="str">
        <f t="shared" si="27"/>
        <v>Greenhills</v>
      </c>
      <c r="AO260" s="21" t="b">
        <f t="shared" si="28"/>
        <v>1</v>
      </c>
    </row>
    <row r="261" spans="1:41" s="10" customFormat="1" ht="12" customHeight="1" x14ac:dyDescent="0.2">
      <c r="A261" s="1" t="s">
        <v>113</v>
      </c>
      <c r="B261" s="1"/>
      <c r="C261" s="1" t="s">
        <v>769</v>
      </c>
      <c r="D261" s="1"/>
      <c r="E261" s="76">
        <v>304131.20000000001</v>
      </c>
      <c r="F261" s="76"/>
      <c r="G261" s="76">
        <v>1618.41</v>
      </c>
      <c r="H261" s="76"/>
      <c r="I261" s="76">
        <v>379</v>
      </c>
      <c r="J261" s="76"/>
      <c r="K261" s="76">
        <v>0</v>
      </c>
      <c r="L261" s="76"/>
      <c r="M261" s="76">
        <v>0</v>
      </c>
      <c r="N261" s="76"/>
      <c r="O261" s="76">
        <v>0</v>
      </c>
      <c r="P261" s="76"/>
      <c r="Q261" s="76">
        <v>132577.51999999999</v>
      </c>
      <c r="R261" s="76"/>
      <c r="S261" s="76">
        <v>0</v>
      </c>
      <c r="T261" s="76"/>
      <c r="U261" s="76">
        <v>0</v>
      </c>
      <c r="V261" s="76"/>
      <c r="W261" s="76">
        <v>0</v>
      </c>
      <c r="X261" s="76"/>
      <c r="Y261" s="76">
        <v>39706.43</v>
      </c>
      <c r="Z261" s="76"/>
      <c r="AA261" s="76">
        <v>0</v>
      </c>
      <c r="AB261" s="76"/>
      <c r="AC261" s="76">
        <v>0</v>
      </c>
      <c r="AD261" s="76"/>
      <c r="AE261" s="76">
        <f t="shared" si="26"/>
        <v>478412.56</v>
      </c>
      <c r="AF261" s="76"/>
      <c r="AG261" s="76">
        <v>-64863.77</v>
      </c>
      <c r="AH261" s="76"/>
      <c r="AI261" s="76">
        <v>301840.57</v>
      </c>
      <c r="AJ261" s="76"/>
      <c r="AK261" s="76">
        <v>236976.8</v>
      </c>
      <c r="AL261" s="24">
        <f>+'Gen Rev'!AI261-'Gen Exp'!AE261+'Gen Exp'!AI261-AK261</f>
        <v>0</v>
      </c>
      <c r="AM261" s="41" t="str">
        <f>'Gen Rev'!A261</f>
        <v>Greenwich</v>
      </c>
      <c r="AN261" s="21" t="str">
        <f t="shared" si="27"/>
        <v>Greenwich</v>
      </c>
      <c r="AO261" s="21" t="b">
        <f t="shared" si="28"/>
        <v>1</v>
      </c>
    </row>
    <row r="262" spans="1:41" ht="12" hidden="1" customHeight="1" x14ac:dyDescent="0.2">
      <c r="A262" s="1" t="s">
        <v>354</v>
      </c>
      <c r="C262" s="1" t="s">
        <v>353</v>
      </c>
      <c r="D262" s="21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>
        <f t="shared" si="26"/>
        <v>0</v>
      </c>
      <c r="AF262" s="76"/>
      <c r="AG262" s="76"/>
      <c r="AH262" s="76"/>
      <c r="AI262" s="76"/>
      <c r="AJ262" s="76"/>
      <c r="AK262" s="76"/>
      <c r="AL262" s="24">
        <f>+'Gen Rev'!AI262-'Gen Exp'!AE262+'Gen Exp'!AI262-AK262</f>
        <v>0</v>
      </c>
      <c r="AM262" s="41" t="str">
        <f>'Gen Rev'!A262</f>
        <v>Groveport</v>
      </c>
      <c r="AN262" s="21" t="str">
        <f t="shared" si="27"/>
        <v>Groveport</v>
      </c>
      <c r="AO262" s="21" t="b">
        <f t="shared" si="28"/>
        <v>1</v>
      </c>
    </row>
    <row r="263" spans="1:41" ht="12" customHeight="1" x14ac:dyDescent="0.2">
      <c r="A263" s="1" t="s">
        <v>686</v>
      </c>
      <c r="C263" s="1" t="s">
        <v>496</v>
      </c>
      <c r="E263" s="76">
        <v>6057</v>
      </c>
      <c r="F263" s="76"/>
      <c r="G263" s="76">
        <v>86</v>
      </c>
      <c r="H263" s="76"/>
      <c r="I263" s="76">
        <v>0</v>
      </c>
      <c r="J263" s="76"/>
      <c r="K263" s="76">
        <v>0</v>
      </c>
      <c r="L263" s="76"/>
      <c r="M263" s="76">
        <v>0</v>
      </c>
      <c r="N263" s="76"/>
      <c r="O263" s="76">
        <v>0</v>
      </c>
      <c r="P263" s="76"/>
      <c r="Q263" s="76">
        <v>36688</v>
      </c>
      <c r="R263" s="76"/>
      <c r="S263" s="76">
        <v>0</v>
      </c>
      <c r="T263" s="76"/>
      <c r="U263" s="76">
        <v>0</v>
      </c>
      <c r="V263" s="76"/>
      <c r="W263" s="76">
        <v>0</v>
      </c>
      <c r="X263" s="76"/>
      <c r="Y263" s="76">
        <v>15812</v>
      </c>
      <c r="Z263" s="76"/>
      <c r="AA263" s="76">
        <v>0</v>
      </c>
      <c r="AB263" s="76"/>
      <c r="AC263" s="76">
        <v>0</v>
      </c>
      <c r="AD263" s="76"/>
      <c r="AE263" s="76">
        <f t="shared" si="26"/>
        <v>58643</v>
      </c>
      <c r="AF263" s="76"/>
      <c r="AG263" s="76">
        <f>9154-15812</f>
        <v>-6658</v>
      </c>
      <c r="AH263" s="76"/>
      <c r="AI263" s="76">
        <f>AK263+6658</f>
        <v>31159</v>
      </c>
      <c r="AJ263" s="76"/>
      <c r="AK263" s="76">
        <v>24501</v>
      </c>
      <c r="AL263" s="24">
        <f>+'Gen Rev'!AI263-'Gen Exp'!AE263+'Gen Exp'!AI263-AK263</f>
        <v>0</v>
      </c>
      <c r="AM263" s="41" t="str">
        <f>'Gen Rev'!A263</f>
        <v>Grower Hill</v>
      </c>
      <c r="AN263" s="21" t="str">
        <f t="shared" si="27"/>
        <v>Grower Hill</v>
      </c>
      <c r="AO263" s="21" t="b">
        <f t="shared" si="28"/>
        <v>1</v>
      </c>
    </row>
    <row r="264" spans="1:41" s="21" customFormat="1" ht="12" customHeight="1" x14ac:dyDescent="0.2">
      <c r="A264" s="1" t="s">
        <v>365</v>
      </c>
      <c r="B264" s="1"/>
      <c r="C264" s="1" t="s">
        <v>82</v>
      </c>
      <c r="D264" s="23"/>
      <c r="E264" s="76">
        <v>33016.28</v>
      </c>
      <c r="F264" s="76"/>
      <c r="G264" s="76">
        <v>172.66</v>
      </c>
      <c r="H264" s="76"/>
      <c r="I264" s="76">
        <v>0</v>
      </c>
      <c r="J264" s="76"/>
      <c r="K264" s="76">
        <v>0</v>
      </c>
      <c r="L264" s="76"/>
      <c r="M264" s="76">
        <v>0</v>
      </c>
      <c r="N264" s="76"/>
      <c r="O264" s="76">
        <v>0</v>
      </c>
      <c r="P264" s="76"/>
      <c r="Q264" s="76">
        <v>42415.35</v>
      </c>
      <c r="R264" s="76"/>
      <c r="S264" s="76">
        <v>0</v>
      </c>
      <c r="T264" s="76"/>
      <c r="U264" s="76">
        <v>0</v>
      </c>
      <c r="V264" s="76"/>
      <c r="W264" s="76">
        <v>0</v>
      </c>
      <c r="X264" s="76"/>
      <c r="Y264" s="76">
        <v>0</v>
      </c>
      <c r="Z264" s="76"/>
      <c r="AA264" s="76">
        <v>0</v>
      </c>
      <c r="AB264" s="76"/>
      <c r="AC264" s="76">
        <v>0</v>
      </c>
      <c r="AD264" s="76"/>
      <c r="AE264" s="76">
        <f t="shared" si="26"/>
        <v>75604.290000000008</v>
      </c>
      <c r="AF264" s="76"/>
      <c r="AG264" s="76">
        <v>6360.83</v>
      </c>
      <c r="AH264" s="76"/>
      <c r="AI264" s="76">
        <v>160172.43</v>
      </c>
      <c r="AJ264" s="76"/>
      <c r="AK264" s="76">
        <v>166533.26</v>
      </c>
      <c r="AL264" s="24">
        <f>+'Gen Rev'!AI264-'Gen Exp'!AE264+'Gen Exp'!AI264-AK264</f>
        <v>0</v>
      </c>
      <c r="AM264" s="41" t="str">
        <f>'Gen Rev'!A264</f>
        <v>Hamden</v>
      </c>
      <c r="AN264" s="21" t="str">
        <f t="shared" si="27"/>
        <v>Hamden</v>
      </c>
      <c r="AO264" s="21" t="b">
        <f t="shared" si="28"/>
        <v>1</v>
      </c>
    </row>
    <row r="265" spans="1:41" ht="12" customHeight="1" x14ac:dyDescent="0.2">
      <c r="A265" s="1" t="s">
        <v>23</v>
      </c>
      <c r="C265" s="1" t="s">
        <v>742</v>
      </c>
      <c r="D265" s="23"/>
      <c r="E265" s="76">
        <v>17828.09</v>
      </c>
      <c r="F265" s="76"/>
      <c r="G265" s="76">
        <v>1109.8399999999999</v>
      </c>
      <c r="H265" s="76"/>
      <c r="I265" s="76">
        <v>0</v>
      </c>
      <c r="J265" s="76"/>
      <c r="K265" s="76">
        <v>0</v>
      </c>
      <c r="L265" s="76"/>
      <c r="M265" s="76">
        <v>0</v>
      </c>
      <c r="N265" s="76"/>
      <c r="O265" s="76">
        <v>0</v>
      </c>
      <c r="P265" s="76"/>
      <c r="Q265" s="76">
        <v>22972.66</v>
      </c>
      <c r="R265" s="76"/>
      <c r="S265" s="76">
        <v>0</v>
      </c>
      <c r="T265" s="76"/>
      <c r="U265" s="76">
        <v>0</v>
      </c>
      <c r="V265" s="76"/>
      <c r="W265" s="76">
        <v>0</v>
      </c>
      <c r="X265" s="76"/>
      <c r="Y265" s="76">
        <v>0</v>
      </c>
      <c r="Z265" s="76"/>
      <c r="AA265" s="76">
        <v>0</v>
      </c>
      <c r="AB265" s="76"/>
      <c r="AC265" s="76">
        <v>0</v>
      </c>
      <c r="AD265" s="76"/>
      <c r="AE265" s="76">
        <f t="shared" si="26"/>
        <v>41910.589999999997</v>
      </c>
      <c r="AF265" s="76"/>
      <c r="AG265" s="76">
        <v>978.55</v>
      </c>
      <c r="AH265" s="76"/>
      <c r="AI265" s="76">
        <v>15972.37</v>
      </c>
      <c r="AJ265" s="76"/>
      <c r="AK265" s="76">
        <v>16950.919999999998</v>
      </c>
      <c r="AL265" s="24">
        <f>+'Gen Rev'!AI265-'Gen Exp'!AE265+'Gen Exp'!AI265-AK265</f>
        <v>0</v>
      </c>
      <c r="AM265" s="41" t="str">
        <f>'Gen Rev'!A265</f>
        <v>Hamersville</v>
      </c>
      <c r="AN265" s="21" t="str">
        <f t="shared" si="27"/>
        <v>Hamersville</v>
      </c>
      <c r="AO265" s="21" t="b">
        <f t="shared" si="28"/>
        <v>1</v>
      </c>
    </row>
    <row r="266" spans="1:41" ht="12" customHeight="1" x14ac:dyDescent="0.2">
      <c r="A266" s="1" t="s">
        <v>924</v>
      </c>
      <c r="C266" s="1" t="s">
        <v>407</v>
      </c>
      <c r="D266" s="10"/>
      <c r="E266" s="76">
        <v>46392.33</v>
      </c>
      <c r="F266" s="76"/>
      <c r="G266" s="76">
        <v>226.66</v>
      </c>
      <c r="H266" s="76"/>
      <c r="I266" s="76">
        <v>700</v>
      </c>
      <c r="J266" s="76"/>
      <c r="K266" s="76">
        <v>0</v>
      </c>
      <c r="L266" s="76"/>
      <c r="M266" s="76">
        <v>348.68</v>
      </c>
      <c r="N266" s="76"/>
      <c r="O266" s="76">
        <v>3288.09</v>
      </c>
      <c r="P266" s="76"/>
      <c r="Q266" s="76">
        <v>86818.8</v>
      </c>
      <c r="R266" s="76"/>
      <c r="S266" s="76">
        <v>0</v>
      </c>
      <c r="T266" s="76"/>
      <c r="U266" s="76">
        <v>0</v>
      </c>
      <c r="V266" s="76"/>
      <c r="W266" s="76">
        <v>0</v>
      </c>
      <c r="X266" s="76"/>
      <c r="Y266" s="76">
        <v>0</v>
      </c>
      <c r="Z266" s="76"/>
      <c r="AA266" s="76">
        <v>0</v>
      </c>
      <c r="AB266" s="76"/>
      <c r="AC266" s="76">
        <v>0</v>
      </c>
      <c r="AD266" s="76"/>
      <c r="AE266" s="76">
        <f t="shared" si="26"/>
        <v>137774.56</v>
      </c>
      <c r="AF266" s="76"/>
      <c r="AG266" s="76">
        <v>19927.099999999999</v>
      </c>
      <c r="AH266" s="76"/>
      <c r="AI266" s="76">
        <v>75093.48</v>
      </c>
      <c r="AJ266" s="76"/>
      <c r="AK266" s="76">
        <v>95020.58</v>
      </c>
      <c r="AL266" s="24">
        <f>+'Gen Rev'!AI266-'Gen Exp'!AE266+'Gen Exp'!AI266-AK266</f>
        <v>0</v>
      </c>
      <c r="AM266" s="41" t="str">
        <f>'Gen Rev'!A266</f>
        <v>Hamler</v>
      </c>
      <c r="AN266" s="21" t="str">
        <f t="shared" si="27"/>
        <v>Hamler</v>
      </c>
      <c r="AO266" s="21" t="b">
        <f t="shared" si="28"/>
        <v>1</v>
      </c>
    </row>
    <row r="267" spans="1:41" s="21" customFormat="1" ht="12" customHeight="1" x14ac:dyDescent="0.2">
      <c r="A267" s="1" t="s">
        <v>126</v>
      </c>
      <c r="B267" s="1"/>
      <c r="C267" s="1" t="s">
        <v>773</v>
      </c>
      <c r="D267" s="23"/>
      <c r="E267" s="76">
        <v>196699.82</v>
      </c>
      <c r="F267" s="76"/>
      <c r="G267" s="76">
        <v>0</v>
      </c>
      <c r="H267" s="76"/>
      <c r="I267" s="76">
        <v>2081.6799999999998</v>
      </c>
      <c r="J267" s="76"/>
      <c r="K267" s="76">
        <v>0</v>
      </c>
      <c r="L267" s="76"/>
      <c r="M267" s="76">
        <v>0</v>
      </c>
      <c r="N267" s="76"/>
      <c r="O267" s="76">
        <v>0</v>
      </c>
      <c r="P267" s="76"/>
      <c r="Q267" s="76">
        <v>83207.63</v>
      </c>
      <c r="R267" s="76"/>
      <c r="S267" s="76">
        <v>0</v>
      </c>
      <c r="T267" s="76"/>
      <c r="U267" s="76">
        <v>10988.08</v>
      </c>
      <c r="V267" s="76"/>
      <c r="W267" s="76">
        <v>415.48</v>
      </c>
      <c r="X267" s="76"/>
      <c r="Y267" s="76">
        <v>0</v>
      </c>
      <c r="Z267" s="76"/>
      <c r="AA267" s="76">
        <v>0</v>
      </c>
      <c r="AB267" s="76"/>
      <c r="AC267" s="76">
        <v>12655.61</v>
      </c>
      <c r="AD267" s="76"/>
      <c r="AE267" s="76">
        <f t="shared" si="26"/>
        <v>306048.3</v>
      </c>
      <c r="AF267" s="76"/>
      <c r="AG267" s="76">
        <v>3856.79</v>
      </c>
      <c r="AH267" s="76"/>
      <c r="AI267" s="76">
        <v>13470.05</v>
      </c>
      <c r="AJ267" s="76"/>
      <c r="AK267" s="76">
        <v>17326.84</v>
      </c>
      <c r="AL267" s="24">
        <f>+'Gen Rev'!AI267-'Gen Exp'!AE267+'Gen Exp'!AI267-AK267</f>
        <v>3.637978807091713E-11</v>
      </c>
      <c r="AM267" s="41" t="str">
        <f>'Gen Rev'!A267</f>
        <v>Hanging Rock</v>
      </c>
      <c r="AN267" s="21" t="str">
        <f t="shared" si="27"/>
        <v>Hanging Rock</v>
      </c>
      <c r="AO267" s="21" t="b">
        <f t="shared" si="28"/>
        <v>1</v>
      </c>
    </row>
    <row r="268" spans="1:41" s="21" customFormat="1" ht="12" customHeight="1" x14ac:dyDescent="0.2">
      <c r="A268" s="1" t="s">
        <v>820</v>
      </c>
      <c r="B268" s="1"/>
      <c r="C268" s="1" t="s">
        <v>439</v>
      </c>
      <c r="D268" s="23"/>
      <c r="E268" s="76">
        <v>4852.42</v>
      </c>
      <c r="F268" s="76"/>
      <c r="G268" s="76">
        <v>0</v>
      </c>
      <c r="H268" s="76"/>
      <c r="I268" s="76">
        <v>0</v>
      </c>
      <c r="J268" s="76"/>
      <c r="K268" s="76">
        <v>0</v>
      </c>
      <c r="L268" s="76"/>
      <c r="M268" s="76">
        <v>9515.9699999999993</v>
      </c>
      <c r="N268" s="76"/>
      <c r="O268" s="76">
        <v>0</v>
      </c>
      <c r="P268" s="76"/>
      <c r="Q268" s="76">
        <v>54263.57</v>
      </c>
      <c r="R268" s="76"/>
      <c r="S268" s="76">
        <v>0</v>
      </c>
      <c r="T268" s="76"/>
      <c r="U268" s="76">
        <v>0</v>
      </c>
      <c r="V268" s="76"/>
      <c r="W268" s="76">
        <v>0</v>
      </c>
      <c r="X268" s="76"/>
      <c r="Y268" s="76">
        <v>0</v>
      </c>
      <c r="Z268" s="76"/>
      <c r="AA268" s="76">
        <v>0</v>
      </c>
      <c r="AB268" s="76"/>
      <c r="AC268" s="76">
        <v>0</v>
      </c>
      <c r="AD268" s="76"/>
      <c r="AE268" s="76">
        <f t="shared" si="26"/>
        <v>68631.959999999992</v>
      </c>
      <c r="AF268" s="76"/>
      <c r="AG268" s="76">
        <v>19787.84</v>
      </c>
      <c r="AH268" s="76"/>
      <c r="AI268" s="76">
        <v>18030.2</v>
      </c>
      <c r="AJ268" s="76"/>
      <c r="AK268" s="76">
        <v>37818.04</v>
      </c>
      <c r="AL268" s="24">
        <f>+'Gen Rev'!AI268-'Gen Exp'!AE268+'Gen Exp'!AI268-AK268</f>
        <v>0</v>
      </c>
      <c r="AM268" s="41" t="str">
        <f>'Gen Rev'!A268</f>
        <v>Hanover</v>
      </c>
      <c r="AN268" s="21" t="str">
        <f t="shared" si="27"/>
        <v>Hanover</v>
      </c>
      <c r="AO268" s="21" t="b">
        <f t="shared" si="28"/>
        <v>1</v>
      </c>
    </row>
    <row r="269" spans="1:41" s="21" customFormat="1" ht="12" customHeight="1" x14ac:dyDescent="0.2">
      <c r="A269" s="1" t="s">
        <v>42</v>
      </c>
      <c r="B269" s="1"/>
      <c r="C269" s="1" t="s">
        <v>749</v>
      </c>
      <c r="D269" s="23"/>
      <c r="E269" s="76">
        <v>5644.8</v>
      </c>
      <c r="F269" s="76"/>
      <c r="G269" s="76">
        <v>619.69000000000005</v>
      </c>
      <c r="H269" s="76"/>
      <c r="I269" s="76">
        <v>2322.8200000000002</v>
      </c>
      <c r="J269" s="76"/>
      <c r="K269" s="76">
        <v>0</v>
      </c>
      <c r="L269" s="76"/>
      <c r="M269" s="76">
        <v>0</v>
      </c>
      <c r="N269" s="76"/>
      <c r="O269" s="76">
        <v>300.45999999999998</v>
      </c>
      <c r="P269" s="76"/>
      <c r="Q269" s="76">
        <v>30100.45</v>
      </c>
      <c r="R269" s="76"/>
      <c r="S269" s="76">
        <v>44618.65</v>
      </c>
      <c r="T269" s="76"/>
      <c r="U269" s="76">
        <v>0</v>
      </c>
      <c r="V269" s="76"/>
      <c r="W269" s="76">
        <v>2000</v>
      </c>
      <c r="X269" s="76"/>
      <c r="Y269" s="76">
        <v>4300</v>
      </c>
      <c r="Z269" s="76"/>
      <c r="AA269" s="76">
        <v>0</v>
      </c>
      <c r="AB269" s="76"/>
      <c r="AC269" s="76">
        <v>0</v>
      </c>
      <c r="AD269" s="76"/>
      <c r="AE269" s="76">
        <f t="shared" si="26"/>
        <v>89906.87</v>
      </c>
      <c r="AF269" s="76"/>
      <c r="AG269" s="76">
        <v>-13697.68</v>
      </c>
      <c r="AH269" s="76"/>
      <c r="AI269" s="76">
        <v>50170.96</v>
      </c>
      <c r="AJ269" s="76"/>
      <c r="AK269" s="76">
        <v>36473.279999999999</v>
      </c>
      <c r="AL269" s="24">
        <f>+'Gen Rev'!AI269-'Gen Exp'!AE269+'Gen Exp'!AI269-AK269</f>
        <v>0</v>
      </c>
      <c r="AM269" s="41" t="str">
        <f>'Gen Rev'!A269</f>
        <v>Hanoverton</v>
      </c>
      <c r="AN269" s="21" t="str">
        <f t="shared" si="27"/>
        <v>Hanoverton</v>
      </c>
      <c r="AO269" s="21" t="b">
        <f t="shared" si="28"/>
        <v>1</v>
      </c>
    </row>
    <row r="270" spans="1:41" s="21" customFormat="1" ht="12" customHeight="1" x14ac:dyDescent="0.2">
      <c r="A270" s="1" t="s">
        <v>140</v>
      </c>
      <c r="B270" s="1"/>
      <c r="C270" s="1" t="s">
        <v>777</v>
      </c>
      <c r="D270" s="23"/>
      <c r="E270" s="76">
        <v>30.92</v>
      </c>
      <c r="F270" s="76"/>
      <c r="G270" s="76">
        <v>132.96</v>
      </c>
      <c r="H270" s="76"/>
      <c r="I270" s="76">
        <v>13080.02</v>
      </c>
      <c r="J270" s="76"/>
      <c r="K270" s="76">
        <v>1073.58</v>
      </c>
      <c r="L270" s="76"/>
      <c r="M270" s="76">
        <v>0</v>
      </c>
      <c r="N270" s="76"/>
      <c r="O270" s="76">
        <v>0</v>
      </c>
      <c r="P270" s="76"/>
      <c r="Q270" s="76">
        <v>35039.26</v>
      </c>
      <c r="R270" s="76"/>
      <c r="S270" s="76">
        <v>0</v>
      </c>
      <c r="T270" s="76"/>
      <c r="U270" s="76">
        <v>0</v>
      </c>
      <c r="V270" s="76"/>
      <c r="W270" s="76">
        <v>0</v>
      </c>
      <c r="X270" s="76"/>
      <c r="Y270" s="76">
        <v>0</v>
      </c>
      <c r="Z270" s="76"/>
      <c r="AA270" s="76">
        <v>0</v>
      </c>
      <c r="AB270" s="76"/>
      <c r="AC270" s="76">
        <v>0</v>
      </c>
      <c r="AD270" s="76"/>
      <c r="AE270" s="76">
        <f t="shared" si="26"/>
        <v>49356.740000000005</v>
      </c>
      <c r="AF270" s="76"/>
      <c r="AG270" s="76">
        <v>-13043.36</v>
      </c>
      <c r="AH270" s="76"/>
      <c r="AI270" s="76">
        <v>17271.95</v>
      </c>
      <c r="AJ270" s="76"/>
      <c r="AK270" s="76">
        <v>4228.59</v>
      </c>
      <c r="AL270" s="24">
        <f>+'Gen Rev'!AI270-'Gen Exp'!AE270+'Gen Exp'!AI270-AK270</f>
        <v>-7.2759576141834259E-12</v>
      </c>
      <c r="AM270" s="41" t="str">
        <f>'Gen Rev'!A270</f>
        <v>Harbor View</v>
      </c>
      <c r="AN270" s="21" t="str">
        <f t="shared" si="27"/>
        <v>Harbor View</v>
      </c>
      <c r="AO270" s="21" t="b">
        <f t="shared" si="28"/>
        <v>1</v>
      </c>
    </row>
    <row r="271" spans="1:41" s="21" customFormat="1" ht="12" customHeight="1" x14ac:dyDescent="0.2">
      <c r="A271" s="1" t="s">
        <v>264</v>
      </c>
      <c r="B271" s="1"/>
      <c r="C271" s="1" t="s">
        <v>814</v>
      </c>
      <c r="D271" s="23"/>
      <c r="E271" s="76">
        <v>7326.85</v>
      </c>
      <c r="F271" s="76"/>
      <c r="G271" s="76">
        <v>494.75</v>
      </c>
      <c r="H271" s="76"/>
      <c r="I271" s="76">
        <v>3573.64</v>
      </c>
      <c r="J271" s="76"/>
      <c r="K271" s="76">
        <v>0</v>
      </c>
      <c r="L271" s="76"/>
      <c r="M271" s="76">
        <v>0</v>
      </c>
      <c r="N271" s="76"/>
      <c r="O271" s="76">
        <v>2850</v>
      </c>
      <c r="P271" s="76"/>
      <c r="Q271" s="76">
        <v>17601.29</v>
      </c>
      <c r="R271" s="76"/>
      <c r="S271" s="76">
        <v>0</v>
      </c>
      <c r="T271" s="76"/>
      <c r="U271" s="76">
        <v>0</v>
      </c>
      <c r="V271" s="76"/>
      <c r="W271" s="76">
        <v>0</v>
      </c>
      <c r="X271" s="76"/>
      <c r="Y271" s="76">
        <v>0</v>
      </c>
      <c r="Z271" s="76"/>
      <c r="AA271" s="76">
        <v>0</v>
      </c>
      <c r="AB271" s="76"/>
      <c r="AC271" s="76">
        <v>0</v>
      </c>
      <c r="AD271" s="76"/>
      <c r="AE271" s="76">
        <f t="shared" si="26"/>
        <v>31846.53</v>
      </c>
      <c r="AF271" s="76"/>
      <c r="AG271" s="76">
        <v>-7274.61</v>
      </c>
      <c r="AH271" s="76"/>
      <c r="AI271" s="76">
        <v>30763.51</v>
      </c>
      <c r="AJ271" s="76"/>
      <c r="AK271" s="76">
        <v>23488.9</v>
      </c>
      <c r="AL271" s="24">
        <f>+'Gen Rev'!AI271-'Gen Exp'!AE271+'Gen Exp'!AI271-AK271</f>
        <v>0</v>
      </c>
      <c r="AM271" s="41" t="str">
        <f>'Gen Rev'!A271</f>
        <v>Harpster</v>
      </c>
      <c r="AN271" s="21" t="str">
        <f t="shared" si="27"/>
        <v>Harpster</v>
      </c>
      <c r="AO271" s="21" t="b">
        <f t="shared" si="28"/>
        <v>1</v>
      </c>
    </row>
    <row r="272" spans="1:41" s="21" customFormat="1" ht="12" customHeight="1" x14ac:dyDescent="0.2">
      <c r="A272" s="1" t="s">
        <v>925</v>
      </c>
      <c r="B272" s="1"/>
      <c r="C272" s="1" t="s">
        <v>353</v>
      </c>
      <c r="D272" s="1"/>
      <c r="E272" s="76">
        <v>29887.73</v>
      </c>
      <c r="F272" s="76"/>
      <c r="G272" s="76">
        <v>952.44</v>
      </c>
      <c r="H272" s="76"/>
      <c r="I272" s="76">
        <v>0</v>
      </c>
      <c r="J272" s="76"/>
      <c r="K272" s="76">
        <v>0</v>
      </c>
      <c r="L272" s="76"/>
      <c r="M272" s="76">
        <v>0</v>
      </c>
      <c r="N272" s="76"/>
      <c r="O272" s="76">
        <v>0</v>
      </c>
      <c r="P272" s="76"/>
      <c r="Q272" s="76">
        <v>72618.78</v>
      </c>
      <c r="R272" s="76"/>
      <c r="S272" s="76">
        <v>0</v>
      </c>
      <c r="T272" s="76"/>
      <c r="U272" s="76">
        <v>0</v>
      </c>
      <c r="V272" s="76"/>
      <c r="W272" s="76">
        <v>0</v>
      </c>
      <c r="X272" s="76"/>
      <c r="Y272" s="76">
        <v>0</v>
      </c>
      <c r="Z272" s="76"/>
      <c r="AA272" s="76">
        <v>0</v>
      </c>
      <c r="AB272" s="76"/>
      <c r="AC272" s="76">
        <v>0</v>
      </c>
      <c r="AD272" s="76"/>
      <c r="AE272" s="76">
        <f t="shared" si="26"/>
        <v>103458.95</v>
      </c>
      <c r="AF272" s="76"/>
      <c r="AG272" s="76">
        <v>-2030.86</v>
      </c>
      <c r="AH272" s="76"/>
      <c r="AI272" s="76">
        <v>16819.38</v>
      </c>
      <c r="AJ272" s="76"/>
      <c r="AK272" s="76">
        <v>14788.52</v>
      </c>
      <c r="AL272" s="24">
        <f>+'Gen Rev'!AI272-'Gen Exp'!AE272+'Gen Exp'!AI272-AK272</f>
        <v>1.4551915228366852E-11</v>
      </c>
      <c r="AM272" s="41" t="str">
        <f>'Gen Rev'!A272</f>
        <v>Harrisburg</v>
      </c>
      <c r="AN272" s="21" t="str">
        <f t="shared" si="27"/>
        <v>Harrisburg</v>
      </c>
      <c r="AO272" s="21" t="b">
        <f t="shared" si="28"/>
        <v>1</v>
      </c>
    </row>
    <row r="273" spans="1:41" ht="12" customHeight="1" x14ac:dyDescent="0.2">
      <c r="A273" s="1" t="s">
        <v>832</v>
      </c>
      <c r="C273" s="1" t="s">
        <v>765</v>
      </c>
      <c r="E273" s="76">
        <v>9216.91</v>
      </c>
      <c r="F273" s="76"/>
      <c r="G273" s="76">
        <v>817.4</v>
      </c>
      <c r="H273" s="76"/>
      <c r="I273" s="76">
        <v>11954.84</v>
      </c>
      <c r="J273" s="76"/>
      <c r="K273" s="76">
        <v>0</v>
      </c>
      <c r="L273" s="76"/>
      <c r="M273" s="76">
        <v>0</v>
      </c>
      <c r="N273" s="76"/>
      <c r="O273" s="76">
        <v>0</v>
      </c>
      <c r="P273" s="76"/>
      <c r="Q273" s="76">
        <v>21911.15</v>
      </c>
      <c r="R273" s="76"/>
      <c r="S273" s="76">
        <v>576</v>
      </c>
      <c r="T273" s="76"/>
      <c r="U273" s="76">
        <v>0</v>
      </c>
      <c r="V273" s="76"/>
      <c r="W273" s="76">
        <v>458.4</v>
      </c>
      <c r="X273" s="76"/>
      <c r="Y273" s="76">
        <v>0</v>
      </c>
      <c r="Z273" s="76"/>
      <c r="AA273" s="76">
        <v>0</v>
      </c>
      <c r="AB273" s="76"/>
      <c r="AC273" s="76">
        <v>167.58</v>
      </c>
      <c r="AD273" s="76"/>
      <c r="AE273" s="76">
        <f t="shared" si="26"/>
        <v>45102.280000000006</v>
      </c>
      <c r="AF273" s="76"/>
      <c r="AG273" s="76">
        <v>-9341.33</v>
      </c>
      <c r="AH273" s="76"/>
      <c r="AI273" s="76">
        <v>42320.84</v>
      </c>
      <c r="AJ273" s="76"/>
      <c r="AK273" s="76">
        <v>32979.51</v>
      </c>
      <c r="AL273" s="24">
        <f>+'Gen Rev'!AI273-'Gen Exp'!AE273+'Gen Exp'!AI273-AK273</f>
        <v>0</v>
      </c>
      <c r="AM273" s="41" t="str">
        <f>'Gen Rev'!A273</f>
        <v>Harrisville</v>
      </c>
      <c r="AN273" s="21" t="str">
        <f t="shared" si="27"/>
        <v>Harrisville</v>
      </c>
      <c r="AO273" s="21" t="b">
        <f t="shared" si="28"/>
        <v>1</v>
      </c>
    </row>
    <row r="274" spans="1:41" ht="12" customHeight="1" x14ac:dyDescent="0.2">
      <c r="A274" s="1" t="s">
        <v>4</v>
      </c>
      <c r="C274" s="1" t="s">
        <v>737</v>
      </c>
      <c r="D274" s="23"/>
      <c r="E274" s="76">
        <v>7025</v>
      </c>
      <c r="F274" s="76"/>
      <c r="G274" s="76">
        <v>908.69</v>
      </c>
      <c r="H274" s="76"/>
      <c r="I274" s="76">
        <v>2507.08</v>
      </c>
      <c r="J274" s="76"/>
      <c r="K274" s="76">
        <v>0</v>
      </c>
      <c r="L274" s="76"/>
      <c r="M274" s="76">
        <v>0</v>
      </c>
      <c r="N274" s="76"/>
      <c r="O274" s="76">
        <v>0</v>
      </c>
      <c r="P274" s="76"/>
      <c r="Q274" s="76">
        <v>33507.85</v>
      </c>
      <c r="R274" s="76"/>
      <c r="S274" s="76">
        <v>0</v>
      </c>
      <c r="T274" s="76"/>
      <c r="U274" s="76">
        <v>0</v>
      </c>
      <c r="V274" s="76"/>
      <c r="W274" s="76">
        <v>0</v>
      </c>
      <c r="X274" s="76"/>
      <c r="Y274" s="76">
        <v>0</v>
      </c>
      <c r="Z274" s="76"/>
      <c r="AA274" s="76">
        <v>0</v>
      </c>
      <c r="AB274" s="76"/>
      <c r="AC274" s="76">
        <v>0</v>
      </c>
      <c r="AD274" s="76"/>
      <c r="AE274" s="76">
        <f t="shared" si="26"/>
        <v>43948.619999999995</v>
      </c>
      <c r="AF274" s="76"/>
      <c r="AG274" s="76">
        <v>18010.669999999998</v>
      </c>
      <c r="AH274" s="76"/>
      <c r="AI274" s="76">
        <v>7042.21</v>
      </c>
      <c r="AJ274" s="76"/>
      <c r="AK274" s="76">
        <v>25052.880000000001</v>
      </c>
      <c r="AL274" s="24">
        <f>+'Gen Rev'!AI274-'Gen Exp'!AE274+'Gen Exp'!AI274-AK274</f>
        <v>0</v>
      </c>
      <c r="AM274" s="41" t="str">
        <f>'Gen Rev'!A274</f>
        <v>Harrod</v>
      </c>
      <c r="AN274" s="21" t="str">
        <f t="shared" si="27"/>
        <v>Harrod</v>
      </c>
      <c r="AO274" s="21" t="b">
        <f t="shared" si="28"/>
        <v>1</v>
      </c>
    </row>
    <row r="275" spans="1:41" s="21" customFormat="1" ht="12" customHeight="1" x14ac:dyDescent="0.2">
      <c r="A275" s="1" t="s">
        <v>441</v>
      </c>
      <c r="B275" s="1"/>
      <c r="C275" s="1" t="s">
        <v>439</v>
      </c>
      <c r="D275" s="1"/>
      <c r="E275" s="76">
        <v>14180</v>
      </c>
      <c r="F275" s="76"/>
      <c r="G275" s="76">
        <v>900</v>
      </c>
      <c r="H275" s="76"/>
      <c r="I275" s="76">
        <v>0</v>
      </c>
      <c r="J275" s="76"/>
      <c r="K275" s="76">
        <v>322</v>
      </c>
      <c r="L275" s="76"/>
      <c r="M275" s="76">
        <v>18721</v>
      </c>
      <c r="N275" s="76"/>
      <c r="O275" s="76">
        <v>0</v>
      </c>
      <c r="P275" s="76"/>
      <c r="Q275" s="76">
        <f>21426+1</f>
        <v>21427</v>
      </c>
      <c r="R275" s="76"/>
      <c r="S275" s="76">
        <v>0</v>
      </c>
      <c r="T275" s="76"/>
      <c r="U275" s="76">
        <v>0</v>
      </c>
      <c r="V275" s="76"/>
      <c r="W275" s="76">
        <v>0</v>
      </c>
      <c r="X275" s="76"/>
      <c r="Y275" s="76">
        <v>0</v>
      </c>
      <c r="Z275" s="76"/>
      <c r="AA275" s="76">
        <v>0</v>
      </c>
      <c r="AB275" s="76"/>
      <c r="AC275" s="76">
        <v>0</v>
      </c>
      <c r="AD275" s="76"/>
      <c r="AE275" s="76">
        <f t="shared" si="26"/>
        <v>55550</v>
      </c>
      <c r="AF275" s="76"/>
      <c r="AG275" s="76">
        <v>-15176</v>
      </c>
      <c r="AH275" s="76"/>
      <c r="AI275" s="76">
        <f>AK275+15176</f>
        <v>31616</v>
      </c>
      <c r="AJ275" s="76"/>
      <c r="AK275" s="76">
        <v>16440</v>
      </c>
      <c r="AL275" s="24">
        <f>+'Gen Rev'!AI275-'Gen Exp'!AE275+'Gen Exp'!AI275-AK275</f>
        <v>0</v>
      </c>
      <c r="AM275" s="41" t="str">
        <f>'Gen Rev'!A275</f>
        <v>Hartford</v>
      </c>
      <c r="AN275" s="21" t="str">
        <f t="shared" si="27"/>
        <v>Hartford</v>
      </c>
      <c r="AO275" s="21" t="b">
        <f t="shared" si="28"/>
        <v>1</v>
      </c>
    </row>
    <row r="276" spans="1:41" ht="12" customHeight="1" x14ac:dyDescent="0.2">
      <c r="A276" s="1" t="s">
        <v>543</v>
      </c>
      <c r="C276" s="1" t="s">
        <v>540</v>
      </c>
      <c r="E276" s="76">
        <v>629940</v>
      </c>
      <c r="F276" s="76"/>
      <c r="G276" s="76">
        <v>21843</v>
      </c>
      <c r="H276" s="76"/>
      <c r="I276" s="76">
        <v>0</v>
      </c>
      <c r="J276" s="76"/>
      <c r="K276" s="76">
        <v>3007</v>
      </c>
      <c r="L276" s="76"/>
      <c r="M276" s="76">
        <v>0</v>
      </c>
      <c r="N276" s="76"/>
      <c r="O276" s="76">
        <v>28559</v>
      </c>
      <c r="P276" s="76"/>
      <c r="Q276" s="76">
        <f>294568-2</f>
        <v>294566</v>
      </c>
      <c r="R276" s="76"/>
      <c r="S276" s="76">
        <v>30028</v>
      </c>
      <c r="T276" s="76"/>
      <c r="U276" s="76">
        <v>0</v>
      </c>
      <c r="V276" s="76"/>
      <c r="W276" s="76">
        <v>0</v>
      </c>
      <c r="X276" s="76"/>
      <c r="Y276" s="76">
        <v>245370</v>
      </c>
      <c r="Z276" s="76"/>
      <c r="AA276" s="76">
        <v>2274</v>
      </c>
      <c r="AB276" s="76"/>
      <c r="AC276" s="76">
        <v>13972</v>
      </c>
      <c r="AD276" s="76"/>
      <c r="AE276" s="76">
        <f t="shared" si="26"/>
        <v>1269559</v>
      </c>
      <c r="AF276" s="76"/>
      <c r="AG276" s="76">
        <v>38124</v>
      </c>
      <c r="AH276" s="76"/>
      <c r="AI276" s="76">
        <v>536141</v>
      </c>
      <c r="AJ276" s="76"/>
      <c r="AK276" s="76">
        <v>574265</v>
      </c>
      <c r="AL276" s="24">
        <f>+'Gen Rev'!AI276-'Gen Exp'!AE276+'Gen Exp'!AI276-AK276</f>
        <v>0</v>
      </c>
      <c r="AM276" s="41" t="str">
        <f>'Gen Rev'!A276</f>
        <v>Hartville</v>
      </c>
      <c r="AN276" s="21" t="str">
        <f t="shared" si="27"/>
        <v>Hartville</v>
      </c>
      <c r="AO276" s="21" t="b">
        <f t="shared" si="28"/>
        <v>1</v>
      </c>
    </row>
    <row r="277" spans="1:41" s="21" customFormat="1" ht="12" customHeight="1" x14ac:dyDescent="0.2">
      <c r="A277" s="1" t="s">
        <v>580</v>
      </c>
      <c r="B277" s="1"/>
      <c r="C277" s="1" t="s">
        <v>581</v>
      </c>
      <c r="D277" s="23"/>
      <c r="E277" s="76">
        <v>0</v>
      </c>
      <c r="F277" s="76"/>
      <c r="G277" s="76">
        <v>344.16</v>
      </c>
      <c r="H277" s="76"/>
      <c r="I277" s="76">
        <v>0</v>
      </c>
      <c r="J277" s="76"/>
      <c r="K277" s="76">
        <v>2309.6</v>
      </c>
      <c r="L277" s="76"/>
      <c r="M277" s="76">
        <v>49161.9</v>
      </c>
      <c r="N277" s="76"/>
      <c r="O277" s="76">
        <v>0</v>
      </c>
      <c r="P277" s="76"/>
      <c r="Q277" s="76">
        <v>103738.98</v>
      </c>
      <c r="R277" s="76"/>
      <c r="S277" s="76">
        <v>0</v>
      </c>
      <c r="T277" s="76"/>
      <c r="U277" s="76">
        <v>0</v>
      </c>
      <c r="V277" s="76"/>
      <c r="W277" s="76">
        <v>0</v>
      </c>
      <c r="X277" s="76"/>
      <c r="Y277" s="76">
        <v>60000</v>
      </c>
      <c r="Z277" s="76"/>
      <c r="AA277" s="76">
        <v>0</v>
      </c>
      <c r="AB277" s="76"/>
      <c r="AC277" s="76">
        <v>0</v>
      </c>
      <c r="AD277" s="76"/>
      <c r="AE277" s="76">
        <f t="shared" si="26"/>
        <v>215554.64</v>
      </c>
      <c r="AF277" s="76"/>
      <c r="AG277" s="76">
        <v>24152.73</v>
      </c>
      <c r="AH277" s="76"/>
      <c r="AI277" s="76">
        <v>74390.53</v>
      </c>
      <c r="AJ277" s="76"/>
      <c r="AK277" s="76">
        <v>98543.26</v>
      </c>
      <c r="AL277" s="24">
        <f>+'Gen Rev'!AI277-'Gen Exp'!AE277+'Gen Exp'!AI277-AK277</f>
        <v>0</v>
      </c>
      <c r="AM277" s="41" t="str">
        <f>'Gen Rev'!A277</f>
        <v>Harveysburg</v>
      </c>
      <c r="AN277" s="21" t="str">
        <f t="shared" si="27"/>
        <v>Harveysburg</v>
      </c>
      <c r="AO277" s="21" t="b">
        <f t="shared" si="28"/>
        <v>1</v>
      </c>
    </row>
    <row r="278" spans="1:41" s="15" customFormat="1" ht="12" customHeight="1" x14ac:dyDescent="0.2">
      <c r="A278" s="36" t="s">
        <v>256</v>
      </c>
      <c r="B278" s="36"/>
      <c r="C278" s="36" t="s">
        <v>813</v>
      </c>
      <c r="D278" s="23"/>
      <c r="E278" s="76">
        <v>121710.74</v>
      </c>
      <c r="F278" s="76"/>
      <c r="G278" s="76">
        <v>1878.94</v>
      </c>
      <c r="H278" s="76"/>
      <c r="I278" s="76">
        <v>17093.150000000001</v>
      </c>
      <c r="J278" s="76"/>
      <c r="K278" s="76">
        <v>1614.11</v>
      </c>
      <c r="L278" s="76"/>
      <c r="M278" s="76">
        <v>10655.67</v>
      </c>
      <c r="N278" s="76"/>
      <c r="O278" s="76">
        <v>0</v>
      </c>
      <c r="P278" s="76"/>
      <c r="Q278" s="76">
        <v>68176.56</v>
      </c>
      <c r="R278" s="76"/>
      <c r="S278" s="76">
        <v>3268.65</v>
      </c>
      <c r="T278" s="76"/>
      <c r="U278" s="76">
        <v>0</v>
      </c>
      <c r="V278" s="76"/>
      <c r="W278" s="76">
        <v>0</v>
      </c>
      <c r="X278" s="76"/>
      <c r="Y278" s="76">
        <v>55000</v>
      </c>
      <c r="Z278" s="76"/>
      <c r="AA278" s="76">
        <v>10000</v>
      </c>
      <c r="AB278" s="76"/>
      <c r="AC278" s="76">
        <v>0</v>
      </c>
      <c r="AD278" s="76"/>
      <c r="AE278" s="76">
        <f t="shared" si="26"/>
        <v>289397.82</v>
      </c>
      <c r="AF278" s="76"/>
      <c r="AG278" s="76">
        <v>-23076.31</v>
      </c>
      <c r="AH278" s="76"/>
      <c r="AI278" s="76">
        <v>279658.65999999997</v>
      </c>
      <c r="AJ278" s="76"/>
      <c r="AK278" s="76">
        <v>256582.35</v>
      </c>
      <c r="AL278" s="24">
        <f>+'Gen Rev'!AI278-'Gen Exp'!AE278+'Gen Exp'!AI278-AK278</f>
        <v>0</v>
      </c>
      <c r="AM278" s="41" t="str">
        <f>'Gen Rev'!A278</f>
        <v>Haskins</v>
      </c>
      <c r="AN278" s="21" t="str">
        <f t="shared" si="27"/>
        <v>Haskins</v>
      </c>
      <c r="AO278" s="21" t="b">
        <f t="shared" si="28"/>
        <v>1</v>
      </c>
    </row>
    <row r="279" spans="1:41" ht="12" customHeight="1" x14ac:dyDescent="0.2">
      <c r="A279" s="1" t="s">
        <v>183</v>
      </c>
      <c r="C279" s="1" t="s">
        <v>792</v>
      </c>
      <c r="E279" s="76">
        <v>7499.63</v>
      </c>
      <c r="F279" s="76"/>
      <c r="G279" s="76">
        <v>0</v>
      </c>
      <c r="H279" s="76"/>
      <c r="I279" s="76">
        <v>1992</v>
      </c>
      <c r="J279" s="76"/>
      <c r="K279" s="76">
        <v>0</v>
      </c>
      <c r="L279" s="76"/>
      <c r="M279" s="76">
        <v>0</v>
      </c>
      <c r="N279" s="76"/>
      <c r="O279" s="76">
        <v>0</v>
      </c>
      <c r="P279" s="76"/>
      <c r="Q279" s="76">
        <v>27088.57</v>
      </c>
      <c r="R279" s="76"/>
      <c r="S279" s="76">
        <v>0</v>
      </c>
      <c r="T279" s="76"/>
      <c r="U279" s="76">
        <v>0</v>
      </c>
      <c r="V279" s="76"/>
      <c r="W279" s="76">
        <v>0</v>
      </c>
      <c r="X279" s="76"/>
      <c r="Y279" s="76">
        <v>0</v>
      </c>
      <c r="Z279" s="76"/>
      <c r="AA279" s="76">
        <v>0</v>
      </c>
      <c r="AB279" s="76"/>
      <c r="AC279" s="76">
        <v>0</v>
      </c>
      <c r="AD279" s="76"/>
      <c r="AE279" s="76">
        <f t="shared" si="26"/>
        <v>36580.199999999997</v>
      </c>
      <c r="AF279" s="76"/>
      <c r="AG279" s="76">
        <v>123.94</v>
      </c>
      <c r="AH279" s="76"/>
      <c r="AI279" s="76">
        <v>95633.67</v>
      </c>
      <c r="AJ279" s="76"/>
      <c r="AK279" s="76">
        <v>95757.61</v>
      </c>
      <c r="AL279" s="24">
        <f>+'Gen Rev'!AI279-'Gen Exp'!AE279+'Gen Exp'!AI279-AK279</f>
        <v>0</v>
      </c>
      <c r="AM279" s="41" t="str">
        <f>'Gen Rev'!A279</f>
        <v>Haviland</v>
      </c>
      <c r="AN279" s="21" t="str">
        <f t="shared" si="27"/>
        <v>Haviland</v>
      </c>
      <c r="AO279" s="21" t="b">
        <f t="shared" si="28"/>
        <v>1</v>
      </c>
    </row>
    <row r="280" spans="1:41" s="10" customFormat="1" ht="12" customHeight="1" x14ac:dyDescent="0.2">
      <c r="A280" s="1" t="s">
        <v>7</v>
      </c>
      <c r="B280" s="1"/>
      <c r="C280" s="1" t="s">
        <v>666</v>
      </c>
      <c r="D280" s="1"/>
      <c r="E280" s="76">
        <v>10294.56</v>
      </c>
      <c r="F280" s="76"/>
      <c r="G280" s="76">
        <v>0</v>
      </c>
      <c r="H280" s="76"/>
      <c r="I280" s="76">
        <v>25.11</v>
      </c>
      <c r="J280" s="76"/>
      <c r="K280" s="76">
        <v>400</v>
      </c>
      <c r="L280" s="76"/>
      <c r="M280" s="76">
        <v>0</v>
      </c>
      <c r="N280" s="76"/>
      <c r="O280" s="76">
        <v>0</v>
      </c>
      <c r="P280" s="76"/>
      <c r="Q280" s="76">
        <v>48393.1</v>
      </c>
      <c r="R280" s="76"/>
      <c r="S280" s="76">
        <v>0</v>
      </c>
      <c r="T280" s="76"/>
      <c r="U280" s="76">
        <v>0</v>
      </c>
      <c r="V280" s="76"/>
      <c r="W280" s="76">
        <v>0</v>
      </c>
      <c r="X280" s="76"/>
      <c r="Y280" s="76">
        <v>0</v>
      </c>
      <c r="Z280" s="76"/>
      <c r="AA280" s="76">
        <v>0</v>
      </c>
      <c r="AB280" s="76"/>
      <c r="AC280" s="76">
        <v>0</v>
      </c>
      <c r="AD280" s="76"/>
      <c r="AE280" s="76">
        <f t="shared" si="26"/>
        <v>59112.77</v>
      </c>
      <c r="AF280" s="76"/>
      <c r="AG280" s="76">
        <v>-357.14</v>
      </c>
      <c r="AH280" s="76"/>
      <c r="AI280" s="76">
        <v>45366.36</v>
      </c>
      <c r="AJ280" s="76"/>
      <c r="AK280" s="76">
        <v>45009.22</v>
      </c>
      <c r="AL280" s="24">
        <f>+'Gen Rev'!AI280-'Gen Exp'!AE280+'Gen Exp'!AI280-AK280</f>
        <v>0</v>
      </c>
      <c r="AM280" s="41" t="str">
        <f>'Gen Rev'!A280</f>
        <v>Hayesville</v>
      </c>
      <c r="AN280" s="21" t="str">
        <f t="shared" si="27"/>
        <v>Hayesville</v>
      </c>
      <c r="AO280" s="21" t="b">
        <f t="shared" si="28"/>
        <v>1</v>
      </c>
    </row>
    <row r="281" spans="1:41" s="10" customFormat="1" ht="12" customHeight="1" x14ac:dyDescent="0.2">
      <c r="A281" s="1" t="s">
        <v>442</v>
      </c>
      <c r="B281" s="1"/>
      <c r="C281" s="1" t="s">
        <v>439</v>
      </c>
      <c r="D281" s="1"/>
      <c r="E281" s="76">
        <v>110978.96</v>
      </c>
      <c r="F281" s="76"/>
      <c r="G281" s="76">
        <v>0</v>
      </c>
      <c r="H281" s="76"/>
      <c r="I281" s="76">
        <v>0</v>
      </c>
      <c r="J281" s="76"/>
      <c r="K281" s="76">
        <v>72556.2</v>
      </c>
      <c r="L281" s="76"/>
      <c r="M281" s="76">
        <v>0</v>
      </c>
      <c r="N281" s="76"/>
      <c r="O281" s="76">
        <v>462</v>
      </c>
      <c r="P281" s="76"/>
      <c r="Q281" s="76">
        <v>362385.57</v>
      </c>
      <c r="R281" s="76"/>
      <c r="S281" s="76">
        <v>6193.88</v>
      </c>
      <c r="T281" s="76"/>
      <c r="U281" s="76">
        <v>0</v>
      </c>
      <c r="V281" s="76"/>
      <c r="W281" s="76">
        <v>0</v>
      </c>
      <c r="X281" s="76"/>
      <c r="Y281" s="76">
        <v>1066000</v>
      </c>
      <c r="Z281" s="76"/>
      <c r="AA281" s="76">
        <v>0</v>
      </c>
      <c r="AB281" s="76"/>
      <c r="AC281" s="76">
        <v>0</v>
      </c>
      <c r="AD281" s="76"/>
      <c r="AE281" s="76">
        <f t="shared" si="26"/>
        <v>1618576.6099999999</v>
      </c>
      <c r="AF281" s="76"/>
      <c r="AG281" s="76">
        <v>233193.61</v>
      </c>
      <c r="AH281" s="76"/>
      <c r="AI281" s="76">
        <v>1162528.26</v>
      </c>
      <c r="AJ281" s="76"/>
      <c r="AK281" s="76">
        <v>1395721.87</v>
      </c>
      <c r="AL281" s="24">
        <f>+'Gen Rev'!AI281-'Gen Exp'!AE281+'Gen Exp'!AI281-AK281</f>
        <v>0</v>
      </c>
      <c r="AM281" s="41" t="str">
        <f>'Gen Rev'!A281</f>
        <v>Hebron</v>
      </c>
      <c r="AN281" s="21" t="str">
        <f t="shared" si="27"/>
        <v>Hebron</v>
      </c>
      <c r="AO281" s="21" t="b">
        <f t="shared" si="28"/>
        <v>1</v>
      </c>
    </row>
    <row r="282" spans="1:41" ht="12" customHeight="1" x14ac:dyDescent="0.2">
      <c r="A282" s="1" t="s">
        <v>214</v>
      </c>
      <c r="C282" s="1" t="s">
        <v>800</v>
      </c>
      <c r="D282" s="23"/>
      <c r="E282" s="76">
        <v>3455.83</v>
      </c>
      <c r="F282" s="76"/>
      <c r="G282" s="76">
        <v>757.99</v>
      </c>
      <c r="H282" s="76"/>
      <c r="I282" s="76">
        <v>2560.88</v>
      </c>
      <c r="J282" s="76"/>
      <c r="K282" s="76">
        <v>2</v>
      </c>
      <c r="L282" s="76"/>
      <c r="M282" s="76">
        <v>13522.8</v>
      </c>
      <c r="N282" s="76"/>
      <c r="O282" s="76">
        <v>0</v>
      </c>
      <c r="P282" s="76"/>
      <c r="Q282" s="76">
        <v>26581.91</v>
      </c>
      <c r="R282" s="76"/>
      <c r="S282" s="76">
        <v>0</v>
      </c>
      <c r="T282" s="76"/>
      <c r="U282" s="76">
        <v>0</v>
      </c>
      <c r="V282" s="76"/>
      <c r="W282" s="76">
        <v>0</v>
      </c>
      <c r="X282" s="76"/>
      <c r="Y282" s="76">
        <v>0</v>
      </c>
      <c r="Z282" s="76"/>
      <c r="AA282" s="76">
        <v>0</v>
      </c>
      <c r="AB282" s="76"/>
      <c r="AC282" s="76">
        <v>0</v>
      </c>
      <c r="AD282" s="76"/>
      <c r="AE282" s="76">
        <f t="shared" si="26"/>
        <v>46881.41</v>
      </c>
      <c r="AF282" s="76"/>
      <c r="AG282" s="76">
        <v>8348.59</v>
      </c>
      <c r="AH282" s="76"/>
      <c r="AI282" s="76">
        <v>239413.59</v>
      </c>
      <c r="AJ282" s="76"/>
      <c r="AK282" s="76">
        <v>247762.18</v>
      </c>
      <c r="AL282" s="24">
        <f>+'Gen Rev'!AI282-'Gen Exp'!AE282+'Gen Exp'!AI282-AK282</f>
        <v>0</v>
      </c>
      <c r="AM282" s="41" t="str">
        <f>'Gen Rev'!A282</f>
        <v>Helena</v>
      </c>
      <c r="AN282" s="21" t="str">
        <f t="shared" si="27"/>
        <v>Helena</v>
      </c>
      <c r="AO282" s="21" t="b">
        <f t="shared" si="28"/>
        <v>1</v>
      </c>
    </row>
    <row r="283" spans="1:41" ht="12" hidden="1" customHeight="1" x14ac:dyDescent="0.2">
      <c r="A283" s="1" t="s">
        <v>888</v>
      </c>
      <c r="C283" s="1" t="s">
        <v>500</v>
      </c>
      <c r="D283" s="21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>
        <f t="shared" si="26"/>
        <v>0</v>
      </c>
      <c r="AF283" s="76"/>
      <c r="AG283" s="76"/>
      <c r="AH283" s="76"/>
      <c r="AI283" s="76"/>
      <c r="AJ283" s="76"/>
      <c r="AK283" s="76"/>
      <c r="AL283" s="24">
        <f>+'Gen Rev'!AI283-'Gen Exp'!AE283+'Gen Exp'!AI283-AK283</f>
        <v>0</v>
      </c>
      <c r="AM283" s="41" t="str">
        <f>'Gen Rev'!A283</f>
        <v>Hemlock</v>
      </c>
      <c r="AN283" s="21" t="str">
        <f t="shared" si="27"/>
        <v>Hemlock</v>
      </c>
      <c r="AO283" s="21" t="b">
        <f t="shared" si="28"/>
        <v>1</v>
      </c>
    </row>
    <row r="284" spans="1:41" ht="12" customHeight="1" x14ac:dyDescent="0.2">
      <c r="A284" s="1" t="s">
        <v>341</v>
      </c>
      <c r="C284" s="1" t="s">
        <v>342</v>
      </c>
      <c r="E284" s="76">
        <v>473937</v>
      </c>
      <c r="F284" s="76"/>
      <c r="G284" s="76">
        <v>25000</v>
      </c>
      <c r="H284" s="76"/>
      <c r="I284" s="76">
        <v>77251</v>
      </c>
      <c r="J284" s="76"/>
      <c r="K284" s="76">
        <v>11192</v>
      </c>
      <c r="L284" s="76"/>
      <c r="M284" s="76">
        <v>0</v>
      </c>
      <c r="N284" s="76"/>
      <c r="O284" s="76">
        <v>0</v>
      </c>
      <c r="P284" s="76"/>
      <c r="Q284" s="76">
        <f>383526-1</f>
        <v>383525</v>
      </c>
      <c r="R284" s="76"/>
      <c r="S284" s="76">
        <v>68386</v>
      </c>
      <c r="T284" s="76"/>
      <c r="U284" s="76">
        <v>0</v>
      </c>
      <c r="V284" s="76"/>
      <c r="W284" s="76">
        <v>0</v>
      </c>
      <c r="X284" s="76"/>
      <c r="Y284" s="76">
        <v>440000</v>
      </c>
      <c r="Z284" s="76"/>
      <c r="AA284" s="76">
        <v>0</v>
      </c>
      <c r="AB284" s="76"/>
      <c r="AC284" s="76">
        <f>17146+923+1975</f>
        <v>20044</v>
      </c>
      <c r="AD284" s="76"/>
      <c r="AE284" s="76">
        <f t="shared" si="26"/>
        <v>1499335</v>
      </c>
      <c r="AF284" s="76"/>
      <c r="AG284" s="76">
        <v>-132703</v>
      </c>
      <c r="AH284" s="76"/>
      <c r="AI284" s="76">
        <v>1674815</v>
      </c>
      <c r="AJ284" s="76"/>
      <c r="AK284" s="76">
        <v>1542112</v>
      </c>
      <c r="AL284" s="24">
        <f>+'Gen Rev'!AI284-'Gen Exp'!AE284+'Gen Exp'!AI284-AK284</f>
        <v>0</v>
      </c>
      <c r="AM284" s="41" t="str">
        <f>'Gen Rev'!A284</f>
        <v>Hicksville</v>
      </c>
      <c r="AN284" s="21" t="str">
        <f t="shared" si="27"/>
        <v>Hicksville</v>
      </c>
      <c r="AO284" s="21" t="b">
        <f t="shared" si="28"/>
        <v>1</v>
      </c>
    </row>
    <row r="285" spans="1:41" ht="12" customHeight="1" x14ac:dyDescent="0.2">
      <c r="A285" s="1" t="s">
        <v>960</v>
      </c>
      <c r="C285" s="1" t="s">
        <v>283</v>
      </c>
      <c r="E285" s="76">
        <v>0</v>
      </c>
      <c r="F285" s="76"/>
      <c r="G285" s="76">
        <v>0</v>
      </c>
      <c r="H285" s="76"/>
      <c r="I285" s="76">
        <v>0</v>
      </c>
      <c r="J285" s="76"/>
      <c r="K285" s="76">
        <v>0</v>
      </c>
      <c r="L285" s="76"/>
      <c r="M285" s="76">
        <v>2312</v>
      </c>
      <c r="N285" s="76"/>
      <c r="O285" s="76">
        <v>0</v>
      </c>
      <c r="P285" s="76"/>
      <c r="Q285" s="76">
        <v>13347</v>
      </c>
      <c r="R285" s="76"/>
      <c r="S285" s="76">
        <v>0</v>
      </c>
      <c r="T285" s="76"/>
      <c r="U285" s="76">
        <v>0</v>
      </c>
      <c r="V285" s="76"/>
      <c r="W285" s="76">
        <v>0</v>
      </c>
      <c r="X285" s="76"/>
      <c r="Y285" s="76">
        <v>0</v>
      </c>
      <c r="Z285" s="76"/>
      <c r="AA285" s="76">
        <v>0</v>
      </c>
      <c r="AB285" s="76"/>
      <c r="AC285" s="76">
        <v>0</v>
      </c>
      <c r="AD285" s="76"/>
      <c r="AE285" s="76">
        <f t="shared" si="26"/>
        <v>15659</v>
      </c>
      <c r="AF285" s="76"/>
      <c r="AG285" s="76">
        <v>-1862</v>
      </c>
      <c r="AH285" s="76"/>
      <c r="AI285" s="76">
        <v>5242</v>
      </c>
      <c r="AJ285" s="76"/>
      <c r="AK285" s="76">
        <v>3380</v>
      </c>
      <c r="AL285" s="24">
        <f>+'Gen Rev'!AI285-'Gen Exp'!AE285+'Gen Exp'!AI285-AK285</f>
        <v>0</v>
      </c>
      <c r="AM285" s="41" t="str">
        <f>'Gen Rev'!A285</f>
        <v>Higginsport</v>
      </c>
      <c r="AN285" s="21" t="str">
        <f t="shared" si="27"/>
        <v>Higginsport</v>
      </c>
      <c r="AO285" s="21" t="b">
        <f t="shared" si="28"/>
        <v>1</v>
      </c>
    </row>
    <row r="286" spans="1:41" ht="12" hidden="1" customHeight="1" x14ac:dyDescent="0.2">
      <c r="A286" s="1" t="s">
        <v>409</v>
      </c>
      <c r="C286" s="1" t="s">
        <v>409</v>
      </c>
      <c r="D286" s="21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>
        <f t="shared" si="26"/>
        <v>0</v>
      </c>
      <c r="AF286" s="76"/>
      <c r="AG286" s="76"/>
      <c r="AH286" s="76"/>
      <c r="AI286" s="76"/>
      <c r="AJ286" s="76"/>
      <c r="AK286" s="76"/>
      <c r="AL286" s="24">
        <f>+'Gen Rev'!AI286-'Gen Exp'!AE286+'Gen Exp'!AI286-AK286</f>
        <v>0</v>
      </c>
      <c r="AM286" s="41" t="str">
        <f>'Gen Rev'!A286</f>
        <v>Highland</v>
      </c>
      <c r="AN286" s="21" t="str">
        <f t="shared" si="27"/>
        <v>Highland</v>
      </c>
      <c r="AO286" s="21" t="b">
        <f t="shared" si="28"/>
        <v>1</v>
      </c>
    </row>
    <row r="287" spans="1:41" ht="12" customHeight="1" x14ac:dyDescent="0.2">
      <c r="A287" s="1" t="s">
        <v>947</v>
      </c>
      <c r="C287" s="1" t="s">
        <v>316</v>
      </c>
      <c r="E287" s="76">
        <v>922218</v>
      </c>
      <c r="F287" s="76"/>
      <c r="G287" s="76">
        <v>0</v>
      </c>
      <c r="H287" s="76"/>
      <c r="I287" s="76">
        <v>0</v>
      </c>
      <c r="J287" s="76"/>
      <c r="K287" s="76">
        <v>244874</v>
      </c>
      <c r="L287" s="76"/>
      <c r="M287" s="76">
        <v>0</v>
      </c>
      <c r="N287" s="76"/>
      <c r="O287" s="76">
        <v>300536</v>
      </c>
      <c r="P287" s="76"/>
      <c r="Q287" s="76">
        <f>1937884+1</f>
        <v>1937885</v>
      </c>
      <c r="R287" s="76"/>
      <c r="S287" s="76">
        <v>0</v>
      </c>
      <c r="T287" s="76"/>
      <c r="U287" s="76">
        <v>0</v>
      </c>
      <c r="V287" s="76"/>
      <c r="W287" s="76">
        <v>0</v>
      </c>
      <c r="X287" s="76"/>
      <c r="Y287" s="76">
        <v>0</v>
      </c>
      <c r="Z287" s="76"/>
      <c r="AA287" s="76">
        <v>0</v>
      </c>
      <c r="AB287" s="76"/>
      <c r="AC287" s="76">
        <v>0</v>
      </c>
      <c r="AD287" s="76"/>
      <c r="AE287" s="76">
        <f t="shared" ref="AE287:AE292" si="29">SUM(E287:AC287)</f>
        <v>3405513</v>
      </c>
      <c r="AF287" s="76"/>
      <c r="AG287" s="76">
        <v>692378</v>
      </c>
      <c r="AH287" s="76"/>
      <c r="AI287" s="76">
        <v>1286033</v>
      </c>
      <c r="AJ287" s="76"/>
      <c r="AK287" s="76">
        <v>1978411</v>
      </c>
      <c r="AL287" s="24">
        <f>+'Gen Rev'!AI287-'Gen Exp'!AE287+'Gen Exp'!AI287-AK287</f>
        <v>0</v>
      </c>
      <c r="AM287" s="41" t="str">
        <f>'Gen Rev'!A287</f>
        <v>Highland Hills</v>
      </c>
      <c r="AN287" s="21" t="str">
        <f t="shared" ref="AN287:AN292" si="30">A287</f>
        <v>Highland Hills</v>
      </c>
      <c r="AO287" s="21" t="b">
        <f t="shared" ref="AO287:AO318" si="31">AM287=AN287</f>
        <v>1</v>
      </c>
    </row>
    <row r="288" spans="1:41" ht="12" customHeight="1" x14ac:dyDescent="0.2">
      <c r="A288" s="1" t="s">
        <v>225</v>
      </c>
      <c r="C288" s="1" t="s">
        <v>804</v>
      </c>
      <c r="D288" s="23"/>
      <c r="E288" s="76">
        <v>0</v>
      </c>
      <c r="F288" s="76"/>
      <c r="G288" s="76">
        <v>0</v>
      </c>
      <c r="H288" s="76"/>
      <c r="I288" s="76">
        <v>63285</v>
      </c>
      <c r="J288" s="76"/>
      <c r="K288" s="76">
        <v>1238.7</v>
      </c>
      <c r="L288" s="76"/>
      <c r="M288" s="76">
        <v>4539.9399999999996</v>
      </c>
      <c r="N288" s="76"/>
      <c r="O288" s="76">
        <v>42.84</v>
      </c>
      <c r="P288" s="76"/>
      <c r="Q288" s="76">
        <v>36115.589999999997</v>
      </c>
      <c r="R288" s="76"/>
      <c r="S288" s="76">
        <v>110630.43</v>
      </c>
      <c r="T288" s="76"/>
      <c r="U288" s="76">
        <v>0</v>
      </c>
      <c r="V288" s="76"/>
      <c r="W288" s="76">
        <v>0</v>
      </c>
      <c r="X288" s="76"/>
      <c r="Y288" s="76">
        <v>0</v>
      </c>
      <c r="Z288" s="76"/>
      <c r="AA288" s="76">
        <v>0</v>
      </c>
      <c r="AB288" s="76"/>
      <c r="AC288" s="76">
        <v>0</v>
      </c>
      <c r="AD288" s="76"/>
      <c r="AE288" s="76">
        <f t="shared" si="29"/>
        <v>215852.5</v>
      </c>
      <c r="AF288" s="76"/>
      <c r="AG288" s="76">
        <v>-185994.92</v>
      </c>
      <c r="AH288" s="76"/>
      <c r="AI288" s="76">
        <v>1932086.27</v>
      </c>
      <c r="AJ288" s="76"/>
      <c r="AK288" s="76">
        <v>1746091.35</v>
      </c>
      <c r="AL288" s="24">
        <f>+'Gen Rev'!AI288-'Gen Exp'!AE288+'Gen Exp'!AI288-AK288</f>
        <v>0</v>
      </c>
      <c r="AM288" s="41" t="str">
        <f>'Gen Rev'!A288</f>
        <v>Hills And Dales</v>
      </c>
      <c r="AN288" s="21" t="str">
        <f t="shared" si="30"/>
        <v>Hills And Dales</v>
      </c>
      <c r="AO288" s="21" t="b">
        <f t="shared" si="31"/>
        <v>1</v>
      </c>
    </row>
    <row r="289" spans="1:41" s="21" customFormat="1" ht="12" customHeight="1" x14ac:dyDescent="0.2">
      <c r="A289" s="1" t="s">
        <v>194</v>
      </c>
      <c r="B289" s="1"/>
      <c r="C289" s="1" t="s">
        <v>795</v>
      </c>
      <c r="D289" s="23"/>
      <c r="E289" s="76">
        <v>388493.67</v>
      </c>
      <c r="F289" s="76"/>
      <c r="G289" s="76">
        <v>0</v>
      </c>
      <c r="H289" s="76"/>
      <c r="I289" s="76">
        <v>275</v>
      </c>
      <c r="J289" s="76"/>
      <c r="K289" s="76">
        <v>8163.03</v>
      </c>
      <c r="L289" s="76"/>
      <c r="M289" s="76">
        <v>1217.9000000000001</v>
      </c>
      <c r="N289" s="76"/>
      <c r="O289" s="76">
        <v>91922.97</v>
      </c>
      <c r="P289" s="76"/>
      <c r="Q289" s="76">
        <v>243012.58</v>
      </c>
      <c r="R289" s="76"/>
      <c r="S289" s="76">
        <v>0</v>
      </c>
      <c r="T289" s="76"/>
      <c r="U289" s="76">
        <v>16042.53</v>
      </c>
      <c r="V289" s="76"/>
      <c r="W289" s="76">
        <v>2538.81</v>
      </c>
      <c r="X289" s="76"/>
      <c r="Y289" s="76">
        <v>165007.76</v>
      </c>
      <c r="Z289" s="76"/>
      <c r="AA289" s="76">
        <v>89412</v>
      </c>
      <c r="AB289" s="76"/>
      <c r="AC289" s="76">
        <v>0</v>
      </c>
      <c r="AD289" s="76"/>
      <c r="AE289" s="76">
        <f t="shared" si="29"/>
        <v>1006086.2500000001</v>
      </c>
      <c r="AF289" s="76"/>
      <c r="AG289" s="76">
        <v>-126005.59</v>
      </c>
      <c r="AH289" s="76"/>
      <c r="AI289" s="76">
        <v>881826.91</v>
      </c>
      <c r="AJ289" s="76"/>
      <c r="AK289" s="76">
        <v>755821.32</v>
      </c>
      <c r="AL289" s="24">
        <f>+'Gen Rev'!AI289-'Gen Exp'!AE289+'Gen Exp'!AI289-AK289</f>
        <v>0</v>
      </c>
      <c r="AM289" s="41" t="str">
        <f>'Gen Rev'!A289</f>
        <v>Hiram</v>
      </c>
      <c r="AN289" s="21" t="str">
        <f t="shared" si="30"/>
        <v>Hiram</v>
      </c>
      <c r="AO289" s="21" t="b">
        <f t="shared" si="31"/>
        <v>1</v>
      </c>
    </row>
    <row r="290" spans="1:41" s="21" customFormat="1" ht="12" customHeight="1" x14ac:dyDescent="0.2">
      <c r="A290" s="1" t="s">
        <v>408</v>
      </c>
      <c r="B290" s="1"/>
      <c r="C290" s="1" t="s">
        <v>407</v>
      </c>
      <c r="D290" s="1"/>
      <c r="E290" s="76">
        <v>39150</v>
      </c>
      <c r="F290" s="76"/>
      <c r="G290" s="76">
        <v>0</v>
      </c>
      <c r="H290" s="76"/>
      <c r="I290" s="76">
        <v>0</v>
      </c>
      <c r="J290" s="76"/>
      <c r="K290" s="76">
        <v>4133</v>
      </c>
      <c r="L290" s="76"/>
      <c r="M290" s="76">
        <v>0</v>
      </c>
      <c r="N290" s="76"/>
      <c r="O290" s="76">
        <v>634</v>
      </c>
      <c r="P290" s="76"/>
      <c r="Q290" s="76">
        <v>150696</v>
      </c>
      <c r="R290" s="76"/>
      <c r="S290" s="76">
        <v>8337</v>
      </c>
      <c r="T290" s="76"/>
      <c r="U290" s="76">
        <v>0</v>
      </c>
      <c r="V290" s="76"/>
      <c r="W290" s="76">
        <v>0</v>
      </c>
      <c r="X290" s="76"/>
      <c r="Y290" s="76">
        <v>0</v>
      </c>
      <c r="Z290" s="76"/>
      <c r="AA290" s="76">
        <v>0</v>
      </c>
      <c r="AB290" s="76"/>
      <c r="AC290" s="76">
        <v>2355</v>
      </c>
      <c r="AD290" s="76"/>
      <c r="AE290" s="76">
        <f t="shared" si="29"/>
        <v>205305</v>
      </c>
      <c r="AF290" s="76"/>
      <c r="AG290" s="76">
        <v>-3199</v>
      </c>
      <c r="AH290" s="76"/>
      <c r="AI290" s="76">
        <v>176105</v>
      </c>
      <c r="AJ290" s="76"/>
      <c r="AK290" s="76">
        <v>172906</v>
      </c>
      <c r="AL290" s="24">
        <f>+'Gen Rev'!AI290-'Gen Exp'!AE290+'Gen Exp'!AI290-AK290</f>
        <v>0</v>
      </c>
      <c r="AM290" s="41" t="str">
        <f>'Gen Rev'!A290</f>
        <v>Holgate</v>
      </c>
      <c r="AN290" s="21" t="str">
        <f t="shared" si="30"/>
        <v>Holgate</v>
      </c>
      <c r="AO290" s="21" t="b">
        <f t="shared" si="31"/>
        <v>1</v>
      </c>
    </row>
    <row r="291" spans="1:41" ht="12" customHeight="1" x14ac:dyDescent="0.2">
      <c r="A291" s="1" t="s">
        <v>267</v>
      </c>
      <c r="C291" s="1" t="s">
        <v>596</v>
      </c>
      <c r="D291" s="23"/>
      <c r="E291" s="76">
        <v>0</v>
      </c>
      <c r="F291" s="76"/>
      <c r="G291" s="76">
        <v>0</v>
      </c>
      <c r="H291" s="76"/>
      <c r="I291" s="76">
        <v>0</v>
      </c>
      <c r="J291" s="76"/>
      <c r="K291" s="76">
        <v>0</v>
      </c>
      <c r="L291" s="76"/>
      <c r="M291" s="76">
        <v>115491.28</v>
      </c>
      <c r="N291" s="76"/>
      <c r="O291" s="76">
        <v>0</v>
      </c>
      <c r="P291" s="76"/>
      <c r="Q291" s="76">
        <v>122584.91</v>
      </c>
      <c r="R291" s="76"/>
      <c r="S291" s="76">
        <v>0</v>
      </c>
      <c r="T291" s="76"/>
      <c r="U291" s="76">
        <v>0</v>
      </c>
      <c r="V291" s="76"/>
      <c r="W291" s="76">
        <v>0</v>
      </c>
      <c r="X291" s="76"/>
      <c r="Y291" s="76">
        <v>45889.94</v>
      </c>
      <c r="Z291" s="76"/>
      <c r="AA291" s="76">
        <v>0</v>
      </c>
      <c r="AB291" s="76"/>
      <c r="AC291" s="76">
        <v>0</v>
      </c>
      <c r="AD291" s="76"/>
      <c r="AE291" s="76">
        <f t="shared" si="29"/>
        <v>283966.13</v>
      </c>
      <c r="AF291" s="76"/>
      <c r="AG291" s="76">
        <v>151731.4</v>
      </c>
      <c r="AH291" s="76"/>
      <c r="AI291" s="76">
        <v>1230360.1000000001</v>
      </c>
      <c r="AJ291" s="76"/>
      <c r="AK291" s="76">
        <v>1382091.5</v>
      </c>
      <c r="AL291" s="24">
        <f>+'Gen Rev'!AI291-'Gen Exp'!AE291+'Gen Exp'!AI291-AK291</f>
        <v>0</v>
      </c>
      <c r="AM291" s="41" t="str">
        <f>'Gen Rev'!A291</f>
        <v>Holiday City</v>
      </c>
      <c r="AN291" s="21" t="str">
        <f t="shared" si="30"/>
        <v>Holiday City</v>
      </c>
      <c r="AO291" s="21" t="b">
        <f t="shared" si="31"/>
        <v>1</v>
      </c>
    </row>
    <row r="292" spans="1:41" ht="12" customHeight="1" x14ac:dyDescent="0.2">
      <c r="A292" s="1" t="s">
        <v>454</v>
      </c>
      <c r="C292" s="1" t="s">
        <v>455</v>
      </c>
      <c r="E292" s="76">
        <v>1008055</v>
      </c>
      <c r="F292" s="76"/>
      <c r="G292" s="76">
        <v>11104</v>
      </c>
      <c r="H292" s="76"/>
      <c r="I292" s="76">
        <v>81162</v>
      </c>
      <c r="J292" s="76"/>
      <c r="K292" s="76">
        <v>72651</v>
      </c>
      <c r="L292" s="76"/>
      <c r="M292" s="76">
        <v>64179</v>
      </c>
      <c r="N292" s="76"/>
      <c r="O292" s="76">
        <v>0</v>
      </c>
      <c r="P292" s="76"/>
      <c r="Q292" s="76">
        <f>552349-1</f>
        <v>552348</v>
      </c>
      <c r="R292" s="76"/>
      <c r="S292" s="76">
        <v>45905</v>
      </c>
      <c r="T292" s="76"/>
      <c r="U292" s="76">
        <v>0</v>
      </c>
      <c r="V292" s="76"/>
      <c r="W292" s="76">
        <v>0</v>
      </c>
      <c r="X292" s="76"/>
      <c r="Y292" s="76">
        <v>342940</v>
      </c>
      <c r="Z292" s="76"/>
      <c r="AA292" s="76">
        <v>0</v>
      </c>
      <c r="AB292" s="76"/>
      <c r="AC292" s="76">
        <v>0</v>
      </c>
      <c r="AD292" s="76"/>
      <c r="AE292" s="76">
        <f t="shared" si="29"/>
        <v>2178344</v>
      </c>
      <c r="AF292" s="76"/>
      <c r="AG292" s="76">
        <v>506412</v>
      </c>
      <c r="AH292" s="76"/>
      <c r="AI292" s="76">
        <v>7486305</v>
      </c>
      <c r="AJ292" s="76"/>
      <c r="AK292" s="76">
        <v>7992717</v>
      </c>
      <c r="AL292" s="24">
        <f>+'Gen Rev'!AI292-'Gen Exp'!AE292+'Gen Exp'!AI292-AK292</f>
        <v>0</v>
      </c>
      <c r="AM292" s="41" t="str">
        <f>'Gen Rev'!A292</f>
        <v>Holland</v>
      </c>
      <c r="AN292" s="21" t="str">
        <f t="shared" si="30"/>
        <v>Holland</v>
      </c>
      <c r="AO292" s="21" t="b">
        <f t="shared" si="31"/>
        <v>1</v>
      </c>
    </row>
    <row r="293" spans="1:41" s="21" customFormat="1" ht="12" customHeight="1" x14ac:dyDescent="0.2">
      <c r="A293" s="1"/>
      <c r="B293" s="1"/>
      <c r="C293" s="1"/>
      <c r="D293" s="23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24"/>
      <c r="AM293" s="41"/>
    </row>
    <row r="294" spans="1:41" s="21" customFormat="1" ht="12" customHeight="1" x14ac:dyDescent="0.2">
      <c r="A294" s="1"/>
      <c r="B294" s="1"/>
      <c r="C294" s="1"/>
      <c r="D294" s="23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 t="s">
        <v>850</v>
      </c>
      <c r="AF294" s="76"/>
      <c r="AG294" s="76"/>
      <c r="AH294" s="76"/>
      <c r="AI294" s="76"/>
      <c r="AJ294" s="76"/>
      <c r="AK294" s="76"/>
      <c r="AL294" s="24"/>
      <c r="AM294" s="41"/>
    </row>
    <row r="295" spans="1:41" s="21" customFormat="1" ht="12" customHeight="1" x14ac:dyDescent="0.2">
      <c r="A295" s="1"/>
      <c r="B295" s="1"/>
      <c r="C295" s="1"/>
      <c r="D295" s="23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24"/>
      <c r="AM295" s="41"/>
    </row>
    <row r="296" spans="1:41" ht="12" customHeight="1" x14ac:dyDescent="0.2">
      <c r="A296" s="1" t="s">
        <v>332</v>
      </c>
      <c r="C296" s="1" t="s">
        <v>329</v>
      </c>
      <c r="E296" s="88">
        <v>19441</v>
      </c>
      <c r="F296" s="88"/>
      <c r="G296" s="88">
        <v>609</v>
      </c>
      <c r="H296" s="88"/>
      <c r="I296" s="88">
        <v>1358</v>
      </c>
      <c r="J296" s="88"/>
      <c r="K296" s="88">
        <v>1890</v>
      </c>
      <c r="L296" s="88"/>
      <c r="M296" s="88">
        <v>9488</v>
      </c>
      <c r="N296" s="88"/>
      <c r="O296" s="88">
        <v>0</v>
      </c>
      <c r="P296" s="88"/>
      <c r="Q296" s="88">
        <v>20894</v>
      </c>
      <c r="R296" s="88"/>
      <c r="S296" s="88">
        <v>0</v>
      </c>
      <c r="T296" s="88"/>
      <c r="U296" s="88">
        <v>0</v>
      </c>
      <c r="V296" s="88"/>
      <c r="W296" s="88">
        <v>0</v>
      </c>
      <c r="X296" s="88"/>
      <c r="Y296" s="88">
        <v>0</v>
      </c>
      <c r="Z296" s="88"/>
      <c r="AA296" s="88">
        <v>0</v>
      </c>
      <c r="AB296" s="88"/>
      <c r="AC296" s="88">
        <v>0</v>
      </c>
      <c r="AD296" s="88"/>
      <c r="AE296" s="88">
        <f t="shared" ref="AE296:AE327" si="32">SUM(E296:AC296)</f>
        <v>53680</v>
      </c>
      <c r="AF296" s="76"/>
      <c r="AG296" s="76">
        <v>1638</v>
      </c>
      <c r="AH296" s="76"/>
      <c r="AI296" s="76">
        <v>-5671</v>
      </c>
      <c r="AJ296" s="76"/>
      <c r="AK296" s="76">
        <v>-4033</v>
      </c>
      <c r="AL296" s="24">
        <f>+'Gen Rev'!AI293-'Gen Exp'!AE296+'Gen Exp'!AI296-AK296</f>
        <v>0</v>
      </c>
      <c r="AM296" s="41" t="str">
        <f>'Gen Rev'!A293</f>
        <v>Hollansburg</v>
      </c>
      <c r="AN296" s="21" t="str">
        <f t="shared" ref="AN296:AN327" si="33">A296</f>
        <v>Hollansburg</v>
      </c>
      <c r="AO296" s="21" t="b">
        <f t="shared" ref="AO296:AO327" si="34">AM296=AN296</f>
        <v>1</v>
      </c>
    </row>
    <row r="297" spans="1:41" ht="12" customHeight="1" x14ac:dyDescent="0.2">
      <c r="A297" s="1" t="s">
        <v>17</v>
      </c>
      <c r="C297" s="1" t="s">
        <v>741</v>
      </c>
      <c r="D297" s="23"/>
      <c r="E297" s="76">
        <v>0</v>
      </c>
      <c r="F297" s="76"/>
      <c r="G297" s="76">
        <v>0</v>
      </c>
      <c r="H297" s="76"/>
      <c r="I297" s="76">
        <v>0</v>
      </c>
      <c r="J297" s="76"/>
      <c r="K297" s="76">
        <v>0</v>
      </c>
      <c r="L297" s="76"/>
      <c r="M297" s="76">
        <v>3853.17</v>
      </c>
      <c r="N297" s="76"/>
      <c r="O297" s="76">
        <v>11724.97</v>
      </c>
      <c r="P297" s="76"/>
      <c r="Q297" s="76">
        <v>32776.71</v>
      </c>
      <c r="R297" s="76"/>
      <c r="S297" s="76">
        <v>0</v>
      </c>
      <c r="T297" s="76"/>
      <c r="U297" s="76">
        <v>0</v>
      </c>
      <c r="V297" s="76"/>
      <c r="W297" s="76">
        <v>0</v>
      </c>
      <c r="X297" s="76"/>
      <c r="Y297" s="76">
        <v>0</v>
      </c>
      <c r="Z297" s="76"/>
      <c r="AA297" s="76">
        <v>2500</v>
      </c>
      <c r="AB297" s="76"/>
      <c r="AC297" s="76">
        <v>5713.69</v>
      </c>
      <c r="AD297" s="76"/>
      <c r="AE297" s="76">
        <f t="shared" si="32"/>
        <v>56568.54</v>
      </c>
      <c r="AF297" s="76"/>
      <c r="AG297" s="76">
        <v>-8429.7800000000007</v>
      </c>
      <c r="AH297" s="76"/>
      <c r="AI297" s="76">
        <v>47348.959999999999</v>
      </c>
      <c r="AJ297" s="76"/>
      <c r="AK297" s="76">
        <v>38919.18</v>
      </c>
      <c r="AL297" s="24">
        <f>+'Gen Rev'!AI294-'Gen Exp'!AE297+'Gen Exp'!AI297-AK297</f>
        <v>0</v>
      </c>
      <c r="AM297" s="41" t="str">
        <f>'Gen Rev'!A294</f>
        <v>Holloway</v>
      </c>
      <c r="AN297" s="21" t="str">
        <f t="shared" si="33"/>
        <v>Holloway</v>
      </c>
      <c r="AO297" s="21" t="b">
        <f t="shared" si="34"/>
        <v>1</v>
      </c>
    </row>
    <row r="298" spans="1:41" ht="12" customHeight="1" x14ac:dyDescent="0.2">
      <c r="A298" s="1" t="s">
        <v>413</v>
      </c>
      <c r="C298" s="1" t="s">
        <v>412</v>
      </c>
      <c r="E298" s="76">
        <v>7621.69</v>
      </c>
      <c r="F298" s="76"/>
      <c r="G298" s="76">
        <v>1355.48</v>
      </c>
      <c r="H298" s="76"/>
      <c r="I298" s="76">
        <v>0</v>
      </c>
      <c r="J298" s="76"/>
      <c r="K298" s="76">
        <v>40</v>
      </c>
      <c r="L298" s="76"/>
      <c r="M298" s="76">
        <v>0</v>
      </c>
      <c r="N298" s="76"/>
      <c r="O298" s="76">
        <v>0</v>
      </c>
      <c r="P298" s="76"/>
      <c r="Q298" s="76">
        <v>27250.98</v>
      </c>
      <c r="R298" s="76"/>
      <c r="S298" s="76">
        <v>0</v>
      </c>
      <c r="T298" s="76"/>
      <c r="U298" s="76">
        <v>0</v>
      </c>
      <c r="V298" s="76"/>
      <c r="W298" s="76">
        <v>0</v>
      </c>
      <c r="X298" s="76"/>
      <c r="Y298" s="76">
        <v>12877.86</v>
      </c>
      <c r="Z298" s="76"/>
      <c r="AA298" s="76">
        <v>366</v>
      </c>
      <c r="AB298" s="76"/>
      <c r="AC298" s="76">
        <v>0</v>
      </c>
      <c r="AD298" s="76"/>
      <c r="AE298" s="76">
        <f t="shared" si="32"/>
        <v>49512.01</v>
      </c>
      <c r="AF298" s="76"/>
      <c r="AG298" s="76">
        <v>-5985.91</v>
      </c>
      <c r="AH298" s="76"/>
      <c r="AI298" s="76">
        <v>24601.22</v>
      </c>
      <c r="AJ298" s="76"/>
      <c r="AK298" s="76">
        <v>18615.310000000001</v>
      </c>
      <c r="AL298" s="24">
        <f>+'Gen Rev'!AI295-'Gen Exp'!AE298+'Gen Exp'!AI298-AK298</f>
        <v>0</v>
      </c>
      <c r="AM298" s="41" t="str">
        <f>'Gen Rev'!A295</f>
        <v>Holmesville</v>
      </c>
      <c r="AN298" s="21" t="str">
        <f t="shared" si="33"/>
        <v>Holmesville</v>
      </c>
      <c r="AO298" s="21" t="b">
        <f t="shared" si="34"/>
        <v>1</v>
      </c>
    </row>
    <row r="299" spans="1:41" s="21" customFormat="1" ht="12" customHeight="1" x14ac:dyDescent="0.2">
      <c r="A299" s="1" t="s">
        <v>101</v>
      </c>
      <c r="B299" s="1"/>
      <c r="C299" s="1" t="s">
        <v>765</v>
      </c>
      <c r="D299" s="23"/>
      <c r="E299" s="76">
        <v>20868.78</v>
      </c>
      <c r="F299" s="76"/>
      <c r="G299" s="76">
        <v>983.5</v>
      </c>
      <c r="H299" s="76"/>
      <c r="I299" s="76">
        <v>0</v>
      </c>
      <c r="J299" s="76"/>
      <c r="K299" s="76">
        <v>0</v>
      </c>
      <c r="L299" s="76"/>
      <c r="M299" s="76">
        <v>24857.119999999999</v>
      </c>
      <c r="N299" s="76"/>
      <c r="O299" s="76">
        <v>49498.07</v>
      </c>
      <c r="P299" s="76"/>
      <c r="Q299" s="76">
        <v>176716.79999999999</v>
      </c>
      <c r="R299" s="76"/>
      <c r="S299" s="76">
        <v>0</v>
      </c>
      <c r="T299" s="76"/>
      <c r="U299" s="76">
        <v>0</v>
      </c>
      <c r="V299" s="76"/>
      <c r="W299" s="76">
        <v>0</v>
      </c>
      <c r="X299" s="76"/>
      <c r="Y299" s="76">
        <v>0</v>
      </c>
      <c r="Z299" s="76"/>
      <c r="AA299" s="76">
        <v>184.05</v>
      </c>
      <c r="AB299" s="76"/>
      <c r="AC299" s="76">
        <v>14.85</v>
      </c>
      <c r="AD299" s="76"/>
      <c r="AE299" s="76">
        <f t="shared" si="32"/>
        <v>273123.17</v>
      </c>
      <c r="AF299" s="76"/>
      <c r="AG299" s="76">
        <v>124586.14</v>
      </c>
      <c r="AH299" s="76"/>
      <c r="AI299" s="76">
        <v>67668.63</v>
      </c>
      <c r="AJ299" s="76"/>
      <c r="AK299" s="76">
        <v>192254.77</v>
      </c>
      <c r="AL299" s="24">
        <f>+'Gen Rev'!AI296-'Gen Exp'!AE299+'Gen Exp'!AI299-AK299</f>
        <v>0</v>
      </c>
      <c r="AM299" s="41" t="str">
        <f>'Gen Rev'!A296</f>
        <v>Hopedale</v>
      </c>
      <c r="AN299" s="21" t="str">
        <f t="shared" si="33"/>
        <v>Hopedale</v>
      </c>
      <c r="AO299" s="21" t="b">
        <f t="shared" si="34"/>
        <v>1</v>
      </c>
    </row>
    <row r="300" spans="1:41" ht="12" customHeight="1" x14ac:dyDescent="0.2">
      <c r="A300" s="1" t="s">
        <v>257</v>
      </c>
      <c r="C300" s="1" t="s">
        <v>813</v>
      </c>
      <c r="D300" s="23"/>
      <c r="E300" s="76">
        <v>2502.0500000000002</v>
      </c>
      <c r="F300" s="76"/>
      <c r="G300" s="76">
        <v>0</v>
      </c>
      <c r="H300" s="76"/>
      <c r="I300" s="76">
        <v>1542.84</v>
      </c>
      <c r="J300" s="76"/>
      <c r="K300" s="76">
        <v>29.79</v>
      </c>
      <c r="L300" s="76"/>
      <c r="M300" s="76">
        <v>0</v>
      </c>
      <c r="N300" s="76"/>
      <c r="O300" s="76">
        <v>0</v>
      </c>
      <c r="P300" s="76"/>
      <c r="Q300" s="76">
        <v>37294.89</v>
      </c>
      <c r="R300" s="76"/>
      <c r="S300" s="76">
        <v>4591.38</v>
      </c>
      <c r="T300" s="76"/>
      <c r="U300" s="76">
        <v>0</v>
      </c>
      <c r="V300" s="76"/>
      <c r="W300" s="76">
        <v>0</v>
      </c>
      <c r="X300" s="76"/>
      <c r="Y300" s="76">
        <v>0</v>
      </c>
      <c r="Z300" s="76"/>
      <c r="AA300" s="76">
        <v>0</v>
      </c>
      <c r="AB300" s="76"/>
      <c r="AC300" s="76">
        <v>268.18</v>
      </c>
      <c r="AD300" s="76"/>
      <c r="AE300" s="76">
        <f t="shared" si="32"/>
        <v>46229.13</v>
      </c>
      <c r="AF300" s="76"/>
      <c r="AG300" s="76">
        <v>-12562.49</v>
      </c>
      <c r="AH300" s="76"/>
      <c r="AI300" s="76">
        <v>54086.01</v>
      </c>
      <c r="AJ300" s="76"/>
      <c r="AK300" s="76">
        <v>41523.519999999997</v>
      </c>
      <c r="AL300" s="24">
        <f>+'Gen Rev'!AI297-'Gen Exp'!AE300+'Gen Exp'!AI300-AK300</f>
        <v>0</v>
      </c>
      <c r="AM300" s="41" t="str">
        <f>'Gen Rev'!A297</f>
        <v>Hoytville</v>
      </c>
      <c r="AN300" s="21" t="str">
        <f t="shared" si="33"/>
        <v>Hoytville</v>
      </c>
      <c r="AO300" s="21" t="b">
        <f t="shared" si="34"/>
        <v>1</v>
      </c>
    </row>
    <row r="301" spans="1:41" s="21" customFormat="1" ht="12" customHeight="1" x14ac:dyDescent="0.2">
      <c r="A301" s="1" t="s">
        <v>321</v>
      </c>
      <c r="B301" s="1"/>
      <c r="C301" s="1" t="s">
        <v>316</v>
      </c>
      <c r="D301" s="1"/>
      <c r="E301" s="76">
        <v>1668013</v>
      </c>
      <c r="F301" s="76"/>
      <c r="G301" s="76">
        <v>14</v>
      </c>
      <c r="H301" s="76"/>
      <c r="I301" s="76">
        <v>0</v>
      </c>
      <c r="J301" s="76"/>
      <c r="K301" s="76">
        <v>203965</v>
      </c>
      <c r="L301" s="76"/>
      <c r="M301" s="76">
        <v>123278</v>
      </c>
      <c r="N301" s="76"/>
      <c r="O301" s="76">
        <v>562533</v>
      </c>
      <c r="P301" s="76"/>
      <c r="Q301" s="76">
        <v>1488323</v>
      </c>
      <c r="R301" s="76"/>
      <c r="S301" s="76">
        <v>683369</v>
      </c>
      <c r="T301" s="76"/>
      <c r="U301" s="76">
        <v>0</v>
      </c>
      <c r="V301" s="76"/>
      <c r="W301" s="76">
        <v>54847</v>
      </c>
      <c r="X301" s="76"/>
      <c r="Y301" s="76">
        <v>0</v>
      </c>
      <c r="Z301" s="76"/>
      <c r="AA301" s="76">
        <v>0</v>
      </c>
      <c r="AB301" s="76"/>
      <c r="AC301" s="76">
        <f>17008-1</f>
        <v>17007</v>
      </c>
      <c r="AD301" s="76"/>
      <c r="AE301" s="76">
        <f t="shared" si="32"/>
        <v>4801349</v>
      </c>
      <c r="AF301" s="76"/>
      <c r="AG301" s="76">
        <v>67520486</v>
      </c>
      <c r="AH301" s="76"/>
      <c r="AI301" s="76">
        <v>9808263</v>
      </c>
      <c r="AJ301" s="76"/>
      <c r="AK301" s="76">
        <v>77328750</v>
      </c>
      <c r="AL301" s="24">
        <f>+'Gen Rev'!AI298-'Gen Exp'!AE301+'Gen Exp'!AI301-AK301</f>
        <v>0</v>
      </c>
      <c r="AM301" s="41" t="str">
        <f>'Gen Rev'!A298</f>
        <v>Hunting Valley</v>
      </c>
      <c r="AN301" s="21" t="str">
        <f t="shared" si="33"/>
        <v>Hunting Valley</v>
      </c>
      <c r="AO301" s="21" t="b">
        <f t="shared" si="34"/>
        <v>1</v>
      </c>
    </row>
    <row r="302" spans="1:41" s="19" customFormat="1" ht="12" customHeight="1" x14ac:dyDescent="0.2">
      <c r="A302" s="1" t="s">
        <v>133</v>
      </c>
      <c r="B302" s="1"/>
      <c r="C302" s="1" t="s">
        <v>775</v>
      </c>
      <c r="D302" s="1"/>
      <c r="E302" s="76">
        <v>51631.7</v>
      </c>
      <c r="F302" s="76"/>
      <c r="G302" s="76">
        <v>1324.96</v>
      </c>
      <c r="H302" s="76"/>
      <c r="I302" s="76">
        <v>2376.9</v>
      </c>
      <c r="J302" s="76"/>
      <c r="K302" s="76">
        <v>2780.95</v>
      </c>
      <c r="L302" s="76"/>
      <c r="M302" s="76">
        <v>1609.89</v>
      </c>
      <c r="N302" s="76"/>
      <c r="O302" s="76">
        <v>7073.81</v>
      </c>
      <c r="P302" s="76"/>
      <c r="Q302" s="76">
        <v>54633.08</v>
      </c>
      <c r="R302" s="76"/>
      <c r="S302" s="76">
        <v>3890.9</v>
      </c>
      <c r="T302" s="76"/>
      <c r="U302" s="76">
        <v>0</v>
      </c>
      <c r="V302" s="76"/>
      <c r="W302" s="76">
        <v>0</v>
      </c>
      <c r="X302" s="76"/>
      <c r="Y302" s="76">
        <v>0</v>
      </c>
      <c r="Z302" s="76"/>
      <c r="AA302" s="76">
        <v>0</v>
      </c>
      <c r="AB302" s="76"/>
      <c r="AC302" s="76">
        <v>1125.8900000000001</v>
      </c>
      <c r="AD302" s="76"/>
      <c r="AE302" s="76">
        <f t="shared" si="32"/>
        <v>126448.07999999999</v>
      </c>
      <c r="AF302" s="76"/>
      <c r="AG302" s="76">
        <v>6098.47</v>
      </c>
      <c r="AH302" s="76"/>
      <c r="AI302" s="76">
        <v>76921.64</v>
      </c>
      <c r="AJ302" s="76"/>
      <c r="AK302" s="76">
        <v>83020.11</v>
      </c>
      <c r="AL302" s="24">
        <f>+'Gen Rev'!AI299-'Gen Exp'!AE302+'Gen Exp'!AI302-AK302</f>
        <v>0</v>
      </c>
      <c r="AM302" s="41" t="str">
        <f>'Gen Rev'!A299</f>
        <v>Huntsville</v>
      </c>
      <c r="AN302" s="21" t="str">
        <f t="shared" si="33"/>
        <v>Huntsville</v>
      </c>
      <c r="AO302" s="21" t="b">
        <f t="shared" si="34"/>
        <v>1</v>
      </c>
    </row>
    <row r="303" spans="1:41" ht="12" customHeight="1" x14ac:dyDescent="0.2">
      <c r="A303" s="1" t="s">
        <v>118</v>
      </c>
      <c r="C303" s="1" t="s">
        <v>770</v>
      </c>
      <c r="E303" s="76">
        <v>7602.21</v>
      </c>
      <c r="F303" s="76"/>
      <c r="G303" s="76">
        <v>0</v>
      </c>
      <c r="H303" s="76"/>
      <c r="I303" s="76">
        <v>1375</v>
      </c>
      <c r="J303" s="76"/>
      <c r="K303" s="76">
        <v>0</v>
      </c>
      <c r="L303" s="76"/>
      <c r="M303" s="76">
        <v>0</v>
      </c>
      <c r="N303" s="76"/>
      <c r="O303" s="76">
        <v>7476.2</v>
      </c>
      <c r="P303" s="76"/>
      <c r="Q303" s="76">
        <v>32713.8</v>
      </c>
      <c r="R303" s="76"/>
      <c r="S303" s="76">
        <v>101121.16</v>
      </c>
      <c r="T303" s="76"/>
      <c r="U303" s="76">
        <v>20000</v>
      </c>
      <c r="V303" s="76"/>
      <c r="W303" s="76">
        <v>0</v>
      </c>
      <c r="X303" s="76"/>
      <c r="Y303" s="76">
        <v>0</v>
      </c>
      <c r="Z303" s="76"/>
      <c r="AA303" s="76">
        <v>0</v>
      </c>
      <c r="AB303" s="76"/>
      <c r="AC303" s="76">
        <v>15.82</v>
      </c>
      <c r="AD303" s="76"/>
      <c r="AE303" s="76">
        <f t="shared" si="32"/>
        <v>170304.19</v>
      </c>
      <c r="AF303" s="76"/>
      <c r="AG303" s="76">
        <v>-123292.16</v>
      </c>
      <c r="AH303" s="76"/>
      <c r="AI303" s="76">
        <v>244707.58</v>
      </c>
      <c r="AJ303" s="76"/>
      <c r="AK303" s="76">
        <v>121415.42</v>
      </c>
      <c r="AL303" s="24">
        <f>+'Gen Rev'!AI300-'Gen Exp'!AE303+'Gen Exp'!AI303-AK303</f>
        <v>0</v>
      </c>
      <c r="AM303" s="41" t="str">
        <f>'Gen Rev'!A300</f>
        <v>Irondale</v>
      </c>
      <c r="AN303" s="21" t="str">
        <f t="shared" si="33"/>
        <v>Irondale</v>
      </c>
      <c r="AO303" s="21" t="b">
        <f t="shared" si="34"/>
        <v>1</v>
      </c>
    </row>
    <row r="304" spans="1:41" s="21" customFormat="1" ht="12" customHeight="1" x14ac:dyDescent="0.2">
      <c r="A304" s="15" t="s">
        <v>687</v>
      </c>
      <c r="B304" s="15"/>
      <c r="C304" s="15" t="s">
        <v>329</v>
      </c>
      <c r="D304" s="15"/>
      <c r="E304" s="76">
        <v>2100</v>
      </c>
      <c r="F304" s="76"/>
      <c r="G304" s="76">
        <v>0</v>
      </c>
      <c r="H304" s="76"/>
      <c r="I304" s="76">
        <v>0</v>
      </c>
      <c r="J304" s="76"/>
      <c r="K304" s="76">
        <v>0</v>
      </c>
      <c r="L304" s="76"/>
      <c r="M304" s="76">
        <v>3741</v>
      </c>
      <c r="N304" s="76"/>
      <c r="O304" s="76">
        <v>0</v>
      </c>
      <c r="P304" s="76"/>
      <c r="Q304" s="76">
        <v>6977</v>
      </c>
      <c r="R304" s="76"/>
      <c r="S304" s="76">
        <v>0</v>
      </c>
      <c r="T304" s="76"/>
      <c r="U304" s="76">
        <v>0</v>
      </c>
      <c r="V304" s="76"/>
      <c r="W304" s="76">
        <v>0</v>
      </c>
      <c r="X304" s="76"/>
      <c r="Y304" s="76">
        <v>0</v>
      </c>
      <c r="Z304" s="76"/>
      <c r="AA304" s="76">
        <v>0</v>
      </c>
      <c r="AB304" s="76"/>
      <c r="AC304" s="76">
        <v>0</v>
      </c>
      <c r="AD304" s="76"/>
      <c r="AE304" s="76">
        <f t="shared" si="32"/>
        <v>12818</v>
      </c>
      <c r="AF304" s="76"/>
      <c r="AG304" s="76">
        <v>2528</v>
      </c>
      <c r="AH304" s="76"/>
      <c r="AI304" s="76">
        <f>AK304-AG304</f>
        <v>22170</v>
      </c>
      <c r="AJ304" s="76"/>
      <c r="AK304" s="76">
        <v>24698</v>
      </c>
      <c r="AL304" s="24">
        <f>+'Gen Rev'!AI301-'Gen Exp'!AE304+'Gen Exp'!AI304-AK304</f>
        <v>0</v>
      </c>
      <c r="AM304" s="41" t="str">
        <f>'Gen Rev'!A301</f>
        <v>Ithaca</v>
      </c>
      <c r="AN304" s="21" t="str">
        <f t="shared" si="33"/>
        <v>Ithaca</v>
      </c>
      <c r="AO304" s="21" t="b">
        <f t="shared" si="34"/>
        <v>1</v>
      </c>
    </row>
    <row r="305" spans="1:41" s="21" customFormat="1" ht="12" customHeight="1" x14ac:dyDescent="0.2">
      <c r="A305" s="1" t="s">
        <v>223</v>
      </c>
      <c r="B305" s="1"/>
      <c r="C305" s="1" t="s">
        <v>803</v>
      </c>
      <c r="D305" s="10"/>
      <c r="E305" s="76">
        <v>165983.82</v>
      </c>
      <c r="F305" s="76"/>
      <c r="G305" s="76">
        <v>2889</v>
      </c>
      <c r="H305" s="76"/>
      <c r="I305" s="76">
        <v>2895.45</v>
      </c>
      <c r="J305" s="76"/>
      <c r="K305" s="76">
        <v>14152.63</v>
      </c>
      <c r="L305" s="76"/>
      <c r="M305" s="76">
        <v>0</v>
      </c>
      <c r="N305" s="76"/>
      <c r="O305" s="76">
        <v>0</v>
      </c>
      <c r="P305" s="76"/>
      <c r="Q305" s="76">
        <v>72061.039999999994</v>
      </c>
      <c r="R305" s="76"/>
      <c r="S305" s="76">
        <v>0</v>
      </c>
      <c r="T305" s="76"/>
      <c r="U305" s="76">
        <v>0</v>
      </c>
      <c r="V305" s="76"/>
      <c r="W305" s="76">
        <v>0</v>
      </c>
      <c r="X305" s="76"/>
      <c r="Y305" s="76">
        <v>0</v>
      </c>
      <c r="Z305" s="76"/>
      <c r="AA305" s="76">
        <v>0</v>
      </c>
      <c r="AB305" s="76"/>
      <c r="AC305" s="76">
        <v>4903.25</v>
      </c>
      <c r="AD305" s="76"/>
      <c r="AE305" s="76">
        <f t="shared" si="32"/>
        <v>262885.19</v>
      </c>
      <c r="AF305" s="76"/>
      <c r="AG305" s="76">
        <v>5508.91</v>
      </c>
      <c r="AH305" s="76"/>
      <c r="AI305" s="76">
        <v>250157.92</v>
      </c>
      <c r="AJ305" s="76"/>
      <c r="AK305" s="76">
        <v>255666.83</v>
      </c>
      <c r="AL305" s="24">
        <f>+'Gen Rev'!AI302-'Gen Exp'!AE305+'Gen Exp'!AI305-AK305</f>
        <v>0</v>
      </c>
      <c r="AM305" s="41" t="str">
        <f>'Gen Rev'!A302</f>
        <v>Jackson Center</v>
      </c>
      <c r="AN305" s="21" t="str">
        <f t="shared" si="33"/>
        <v>Jackson Center</v>
      </c>
      <c r="AO305" s="21" t="b">
        <f t="shared" si="34"/>
        <v>1</v>
      </c>
    </row>
    <row r="306" spans="1:41" ht="12" customHeight="1" x14ac:dyDescent="0.2">
      <c r="A306" s="15" t="s">
        <v>689</v>
      </c>
      <c r="B306" s="15"/>
      <c r="C306" s="15" t="s">
        <v>688</v>
      </c>
      <c r="D306" s="15"/>
      <c r="E306" s="76">
        <v>332</v>
      </c>
      <c r="F306" s="76"/>
      <c r="G306" s="76">
        <v>0</v>
      </c>
      <c r="H306" s="76"/>
      <c r="I306" s="76">
        <v>0</v>
      </c>
      <c r="J306" s="76"/>
      <c r="K306" s="76">
        <v>0</v>
      </c>
      <c r="L306" s="76"/>
      <c r="M306" s="76">
        <v>9184</v>
      </c>
      <c r="N306" s="76"/>
      <c r="O306" s="76">
        <v>0</v>
      </c>
      <c r="P306" s="76"/>
      <c r="Q306" s="76">
        <v>20285</v>
      </c>
      <c r="R306" s="76"/>
      <c r="S306" s="76">
        <v>0</v>
      </c>
      <c r="T306" s="76"/>
      <c r="U306" s="76">
        <v>0</v>
      </c>
      <c r="V306" s="76"/>
      <c r="W306" s="76">
        <v>0</v>
      </c>
      <c r="X306" s="76"/>
      <c r="Y306" s="76">
        <v>0</v>
      </c>
      <c r="Z306" s="76"/>
      <c r="AA306" s="76">
        <v>0</v>
      </c>
      <c r="AB306" s="76"/>
      <c r="AC306" s="76">
        <v>0</v>
      </c>
      <c r="AD306" s="76"/>
      <c r="AE306" s="76">
        <f t="shared" si="32"/>
        <v>29801</v>
      </c>
      <c r="AF306" s="76"/>
      <c r="AG306" s="76">
        <v>-16945</v>
      </c>
      <c r="AH306" s="76"/>
      <c r="AI306" s="76">
        <f>AK306-AG306</f>
        <v>41381</v>
      </c>
      <c r="AJ306" s="76"/>
      <c r="AK306" s="76">
        <v>24436</v>
      </c>
      <c r="AL306" s="24">
        <f>+'Gen Rev'!AI303-'Gen Exp'!AE306+'Gen Exp'!AI306-AK306</f>
        <v>0</v>
      </c>
      <c r="AM306" s="41" t="str">
        <f>'Gen Rev'!A303</f>
        <v>Jacksonburg</v>
      </c>
      <c r="AN306" s="21" t="str">
        <f t="shared" si="33"/>
        <v>Jacksonburg</v>
      </c>
      <c r="AO306" s="21" t="b">
        <f t="shared" si="34"/>
        <v>1</v>
      </c>
    </row>
    <row r="307" spans="1:41" s="31" customFormat="1" ht="12" customHeight="1" x14ac:dyDescent="0.2">
      <c r="A307" s="15" t="s">
        <v>958</v>
      </c>
      <c r="B307" s="15"/>
      <c r="C307" s="15" t="s">
        <v>271</v>
      </c>
      <c r="D307" s="15"/>
      <c r="E307" s="76">
        <v>18795</v>
      </c>
      <c r="F307" s="76"/>
      <c r="G307" s="76">
        <v>0</v>
      </c>
      <c r="H307" s="76"/>
      <c r="I307" s="76">
        <v>0</v>
      </c>
      <c r="J307" s="76"/>
      <c r="K307" s="76">
        <v>0</v>
      </c>
      <c r="L307" s="76"/>
      <c r="M307" s="76">
        <v>0</v>
      </c>
      <c r="N307" s="76"/>
      <c r="O307" s="76">
        <v>0</v>
      </c>
      <c r="P307" s="76"/>
      <c r="Q307" s="76">
        <v>45185</v>
      </c>
      <c r="R307" s="76"/>
      <c r="S307" s="76">
        <v>0</v>
      </c>
      <c r="T307" s="76"/>
      <c r="U307" s="76">
        <v>0</v>
      </c>
      <c r="V307" s="76"/>
      <c r="W307" s="76">
        <v>0</v>
      </c>
      <c r="X307" s="76"/>
      <c r="Y307" s="76">
        <v>0</v>
      </c>
      <c r="Z307" s="76"/>
      <c r="AA307" s="76">
        <v>0</v>
      </c>
      <c r="AB307" s="76"/>
      <c r="AC307" s="76">
        <v>0</v>
      </c>
      <c r="AD307" s="76"/>
      <c r="AE307" s="76">
        <f t="shared" si="32"/>
        <v>63980</v>
      </c>
      <c r="AF307" s="76"/>
      <c r="AG307" s="76">
        <v>-5982</v>
      </c>
      <c r="AH307" s="76"/>
      <c r="AI307" s="76">
        <v>-137531</v>
      </c>
      <c r="AJ307" s="76"/>
      <c r="AK307" s="76">
        <v>-143513</v>
      </c>
      <c r="AL307" s="24">
        <f>+'Gen Rev'!AI304-'Gen Exp'!AE307+'Gen Exp'!AI307-AK307</f>
        <v>0</v>
      </c>
      <c r="AM307" s="41" t="str">
        <f>'Gen Rev'!A304</f>
        <v>Jacksonville</v>
      </c>
      <c r="AN307" s="21" t="str">
        <f t="shared" si="33"/>
        <v>Jacksonville</v>
      </c>
      <c r="AO307" s="21" t="b">
        <f t="shared" si="34"/>
        <v>1</v>
      </c>
    </row>
    <row r="308" spans="1:41" ht="12" customHeight="1" x14ac:dyDescent="0.2">
      <c r="A308" s="1" t="s">
        <v>84</v>
      </c>
      <c r="C308" s="1" t="s">
        <v>761</v>
      </c>
      <c r="E308" s="76">
        <v>24199.79</v>
      </c>
      <c r="F308" s="76"/>
      <c r="G308" s="76">
        <v>3771.14</v>
      </c>
      <c r="H308" s="76"/>
      <c r="I308" s="76">
        <v>629.79</v>
      </c>
      <c r="J308" s="76"/>
      <c r="K308" s="76">
        <v>3156</v>
      </c>
      <c r="L308" s="76"/>
      <c r="M308" s="76">
        <v>27191.759999999998</v>
      </c>
      <c r="N308" s="76"/>
      <c r="O308" s="76">
        <v>0</v>
      </c>
      <c r="P308" s="76"/>
      <c r="Q308" s="76">
        <v>138693.53</v>
      </c>
      <c r="R308" s="76"/>
      <c r="S308" s="76">
        <v>0</v>
      </c>
      <c r="T308" s="76"/>
      <c r="U308" s="76">
        <v>0</v>
      </c>
      <c r="V308" s="76"/>
      <c r="W308" s="76">
        <v>0</v>
      </c>
      <c r="X308" s="76"/>
      <c r="Y308" s="76">
        <v>67000</v>
      </c>
      <c r="Z308" s="76"/>
      <c r="AA308" s="76">
        <v>0</v>
      </c>
      <c r="AB308" s="76"/>
      <c r="AC308" s="76">
        <v>0</v>
      </c>
      <c r="AD308" s="76"/>
      <c r="AE308" s="76">
        <f t="shared" si="32"/>
        <v>264642.01</v>
      </c>
      <c r="AF308" s="76"/>
      <c r="AG308" s="76">
        <v>111441.62</v>
      </c>
      <c r="AH308" s="76"/>
      <c r="AI308" s="76">
        <v>456874.78</v>
      </c>
      <c r="AJ308" s="76"/>
      <c r="AK308" s="76">
        <v>568316.4</v>
      </c>
      <c r="AL308" s="24">
        <f>+'Gen Rev'!AI305-'Gen Exp'!AE308+'Gen Exp'!AI308-AK308</f>
        <v>0</v>
      </c>
      <c r="AM308" s="41" t="str">
        <f>'Gen Rev'!A305</f>
        <v>Jamestown</v>
      </c>
      <c r="AN308" s="21" t="str">
        <f t="shared" si="33"/>
        <v>Jamestown</v>
      </c>
      <c r="AO308" s="21" t="b">
        <f t="shared" si="34"/>
        <v>1</v>
      </c>
    </row>
    <row r="309" spans="1:41" s="31" customFormat="1" ht="12" customHeight="1" x14ac:dyDescent="0.2">
      <c r="A309" s="1" t="s">
        <v>690</v>
      </c>
      <c r="B309" s="1"/>
      <c r="C309" s="1" t="s">
        <v>671</v>
      </c>
      <c r="D309" s="1"/>
      <c r="E309" s="76">
        <v>88628</v>
      </c>
      <c r="F309" s="76"/>
      <c r="G309" s="76">
        <v>0</v>
      </c>
      <c r="H309" s="76"/>
      <c r="I309" s="76">
        <v>0</v>
      </c>
      <c r="J309" s="76"/>
      <c r="K309" s="76">
        <v>0</v>
      </c>
      <c r="L309" s="76"/>
      <c r="M309" s="76">
        <v>0</v>
      </c>
      <c r="N309" s="76"/>
      <c r="O309" s="76">
        <v>177075</v>
      </c>
      <c r="P309" s="76"/>
      <c r="Q309" s="76">
        <v>542385</v>
      </c>
      <c r="R309" s="76"/>
      <c r="S309" s="76">
        <v>0</v>
      </c>
      <c r="T309" s="76"/>
      <c r="U309" s="76">
        <v>0</v>
      </c>
      <c r="V309" s="76"/>
      <c r="W309" s="76">
        <v>0</v>
      </c>
      <c r="X309" s="76"/>
      <c r="Y309" s="76">
        <v>0</v>
      </c>
      <c r="Z309" s="76"/>
      <c r="AA309" s="76">
        <v>0</v>
      </c>
      <c r="AB309" s="76"/>
      <c r="AC309" s="76">
        <v>55000</v>
      </c>
      <c r="AD309" s="76"/>
      <c r="AE309" s="76">
        <f t="shared" si="32"/>
        <v>863088</v>
      </c>
      <c r="AF309" s="76"/>
      <c r="AG309" s="76">
        <v>26455</v>
      </c>
      <c r="AH309" s="76"/>
      <c r="AI309" s="76">
        <v>227816</v>
      </c>
      <c r="AJ309" s="76"/>
      <c r="AK309" s="76">
        <v>254271</v>
      </c>
      <c r="AL309" s="24">
        <f>+'Gen Rev'!AI306-'Gen Exp'!AE309+'Gen Exp'!AI309-AK309</f>
        <v>0</v>
      </c>
      <c r="AM309" s="41" t="str">
        <f>'Gen Rev'!A306</f>
        <v xml:space="preserve">Jefferson  </v>
      </c>
      <c r="AN309" s="21" t="str">
        <f t="shared" si="33"/>
        <v xml:space="preserve">Jefferson  </v>
      </c>
      <c r="AO309" s="21" t="b">
        <f t="shared" si="34"/>
        <v>1</v>
      </c>
    </row>
    <row r="310" spans="1:41" s="31" customFormat="1" ht="12" customHeight="1" x14ac:dyDescent="0.2">
      <c r="A310" s="1" t="s">
        <v>69</v>
      </c>
      <c r="B310" s="1"/>
      <c r="C310" s="1" t="s">
        <v>757</v>
      </c>
      <c r="D310" s="23"/>
      <c r="E310" s="76">
        <v>52580.04</v>
      </c>
      <c r="F310" s="76"/>
      <c r="G310" s="76">
        <v>1848.96</v>
      </c>
      <c r="H310" s="76"/>
      <c r="I310" s="76">
        <v>0</v>
      </c>
      <c r="J310" s="76"/>
      <c r="K310" s="76">
        <v>1365.58</v>
      </c>
      <c r="L310" s="76"/>
      <c r="M310" s="76">
        <v>4003.5</v>
      </c>
      <c r="N310" s="76"/>
      <c r="O310" s="76">
        <v>0</v>
      </c>
      <c r="P310" s="76"/>
      <c r="Q310" s="76">
        <v>342563.5</v>
      </c>
      <c r="R310" s="76"/>
      <c r="S310" s="76">
        <v>0</v>
      </c>
      <c r="T310" s="76"/>
      <c r="U310" s="76">
        <v>3150</v>
      </c>
      <c r="V310" s="76"/>
      <c r="W310" s="76">
        <v>0</v>
      </c>
      <c r="X310" s="76"/>
      <c r="Y310" s="76">
        <v>0</v>
      </c>
      <c r="Z310" s="76"/>
      <c r="AA310" s="76">
        <v>0</v>
      </c>
      <c r="AB310" s="76"/>
      <c r="AC310" s="76">
        <v>7884</v>
      </c>
      <c r="AD310" s="76"/>
      <c r="AE310" s="76">
        <f t="shared" si="32"/>
        <v>413395.58</v>
      </c>
      <c r="AF310" s="76"/>
      <c r="AG310" s="76">
        <v>11206.94</v>
      </c>
      <c r="AH310" s="76"/>
      <c r="AI310" s="76">
        <v>34318.36</v>
      </c>
      <c r="AJ310" s="76"/>
      <c r="AK310" s="76">
        <v>45525.3</v>
      </c>
      <c r="AL310" s="24">
        <f>+'Gen Rev'!AI307-'Gen Exp'!AE310+'Gen Exp'!AI310-AK310</f>
        <v>0</v>
      </c>
      <c r="AM310" s="41" t="str">
        <f>'Gen Rev'!A307</f>
        <v>Jeffersonville</v>
      </c>
      <c r="AN310" s="21" t="str">
        <f t="shared" si="33"/>
        <v>Jeffersonville</v>
      </c>
      <c r="AO310" s="21" t="b">
        <f t="shared" si="34"/>
        <v>1</v>
      </c>
    </row>
    <row r="311" spans="1:41" s="21" customFormat="1" ht="12" customHeight="1" x14ac:dyDescent="0.2">
      <c r="A311" s="1" t="s">
        <v>691</v>
      </c>
      <c r="B311" s="1"/>
      <c r="C311" s="1" t="s">
        <v>388</v>
      </c>
      <c r="E311" s="76">
        <v>4251.78</v>
      </c>
      <c r="F311" s="76"/>
      <c r="G311" s="76">
        <v>0</v>
      </c>
      <c r="H311" s="76"/>
      <c r="I311" s="76">
        <v>19094.88</v>
      </c>
      <c r="J311" s="76"/>
      <c r="K311" s="76">
        <v>7736.22</v>
      </c>
      <c r="L311" s="76"/>
      <c r="M311" s="76">
        <v>12279.06</v>
      </c>
      <c r="N311" s="76"/>
      <c r="O311" s="76">
        <v>0</v>
      </c>
      <c r="P311" s="76"/>
      <c r="Q311" s="76">
        <v>37724.129999999997</v>
      </c>
      <c r="R311" s="76"/>
      <c r="S311" s="76">
        <v>12644.66</v>
      </c>
      <c r="T311" s="76"/>
      <c r="U311" s="76">
        <v>6998.29</v>
      </c>
      <c r="V311" s="76"/>
      <c r="W311" s="76">
        <v>2588.87</v>
      </c>
      <c r="X311" s="76"/>
      <c r="Y311" s="76">
        <v>20000</v>
      </c>
      <c r="Z311" s="76"/>
      <c r="AA311" s="76">
        <v>0</v>
      </c>
      <c r="AB311" s="76"/>
      <c r="AC311" s="76">
        <v>0</v>
      </c>
      <c r="AD311" s="76"/>
      <c r="AE311" s="76">
        <f t="shared" si="32"/>
        <v>123317.89</v>
      </c>
      <c r="AF311" s="76"/>
      <c r="AG311" s="76">
        <v>-36579.32</v>
      </c>
      <c r="AH311" s="76"/>
      <c r="AI311" s="76">
        <v>57473.43</v>
      </c>
      <c r="AJ311" s="76"/>
      <c r="AK311" s="76">
        <v>20894.11</v>
      </c>
      <c r="AL311" s="24">
        <f>+'Gen Rev'!AI308-'Gen Exp'!AE311+'Gen Exp'!AI311-AK311</f>
        <v>0</v>
      </c>
      <c r="AM311" s="41" t="str">
        <f>'Gen Rev'!A308</f>
        <v>Jenera</v>
      </c>
      <c r="AN311" s="21" t="str">
        <f t="shared" si="33"/>
        <v>Jenera</v>
      </c>
      <c r="AO311" s="21" t="b">
        <f t="shared" si="34"/>
        <v>1</v>
      </c>
    </row>
    <row r="312" spans="1:41" s="21" customFormat="1" ht="12" customHeight="1" x14ac:dyDescent="0.2">
      <c r="A312" s="1" t="s">
        <v>692</v>
      </c>
      <c r="B312" s="1"/>
      <c r="C312" s="1" t="s">
        <v>666</v>
      </c>
      <c r="D312" s="23"/>
      <c r="E312" s="76">
        <v>7235</v>
      </c>
      <c r="F312" s="76"/>
      <c r="G312" s="76">
        <v>625</v>
      </c>
      <c r="H312" s="76"/>
      <c r="I312" s="76">
        <v>9117</v>
      </c>
      <c r="J312" s="76"/>
      <c r="K312" s="76">
        <v>0</v>
      </c>
      <c r="L312" s="76"/>
      <c r="M312" s="76">
        <v>0</v>
      </c>
      <c r="N312" s="76"/>
      <c r="O312" s="76">
        <v>4440</v>
      </c>
      <c r="P312" s="76"/>
      <c r="Q312" s="76">
        <v>46887</v>
      </c>
      <c r="R312" s="76"/>
      <c r="S312" s="76">
        <v>465</v>
      </c>
      <c r="T312" s="76"/>
      <c r="U312" s="76">
        <v>0</v>
      </c>
      <c r="V312" s="76"/>
      <c r="W312" s="76">
        <v>0</v>
      </c>
      <c r="X312" s="76"/>
      <c r="Y312" s="76">
        <v>0</v>
      </c>
      <c r="Z312" s="76"/>
      <c r="AA312" s="76">
        <v>0</v>
      </c>
      <c r="AB312" s="76"/>
      <c r="AC312" s="76">
        <f>4296-1</f>
        <v>4295</v>
      </c>
      <c r="AD312" s="76"/>
      <c r="AE312" s="76">
        <f t="shared" si="32"/>
        <v>73064</v>
      </c>
      <c r="AF312" s="76"/>
      <c r="AG312" s="76">
        <v>-9830</v>
      </c>
      <c r="AH312" s="76"/>
      <c r="AI312" s="76">
        <v>77739</v>
      </c>
      <c r="AJ312" s="76"/>
      <c r="AK312" s="76">
        <v>67909</v>
      </c>
      <c r="AL312" s="24">
        <f>+'Gen Rev'!AI312-'Gen Exp'!AE312+'Gen Exp'!AI312-AK312</f>
        <v>0</v>
      </c>
      <c r="AM312" s="41" t="str">
        <f>'Gen Rev'!A312</f>
        <v>Jeromesville</v>
      </c>
      <c r="AN312" s="21" t="str">
        <f t="shared" si="33"/>
        <v>Jeromesville</v>
      </c>
      <c r="AO312" s="21" t="b">
        <f t="shared" si="34"/>
        <v>1</v>
      </c>
    </row>
    <row r="313" spans="1:41" ht="12" customHeight="1" x14ac:dyDescent="0.2">
      <c r="A313" s="1" t="s">
        <v>693</v>
      </c>
      <c r="C313" s="1" t="s">
        <v>601</v>
      </c>
      <c r="D313" s="23"/>
      <c r="E313" s="76">
        <v>1367.3</v>
      </c>
      <c r="F313" s="76"/>
      <c r="G313" s="76">
        <v>0</v>
      </c>
      <c r="H313" s="76"/>
      <c r="I313" s="76">
        <v>1444.59</v>
      </c>
      <c r="J313" s="76"/>
      <c r="K313" s="76">
        <v>115.1</v>
      </c>
      <c r="L313" s="76"/>
      <c r="M313" s="76">
        <v>0</v>
      </c>
      <c r="N313" s="76"/>
      <c r="O313" s="76">
        <v>0</v>
      </c>
      <c r="P313" s="76"/>
      <c r="Q313" s="76">
        <v>41762.370000000003</v>
      </c>
      <c r="R313" s="76"/>
      <c r="S313" s="76">
        <v>0</v>
      </c>
      <c r="T313" s="76"/>
      <c r="U313" s="76">
        <v>0</v>
      </c>
      <c r="V313" s="76"/>
      <c r="W313" s="76">
        <v>0</v>
      </c>
      <c r="X313" s="76"/>
      <c r="Y313" s="76">
        <v>0</v>
      </c>
      <c r="Z313" s="76"/>
      <c r="AA313" s="76">
        <v>8000</v>
      </c>
      <c r="AB313" s="76"/>
      <c r="AC313" s="76">
        <v>0</v>
      </c>
      <c r="AD313" s="76"/>
      <c r="AE313" s="76">
        <f t="shared" si="32"/>
        <v>52689.36</v>
      </c>
      <c r="AF313" s="76"/>
      <c r="AG313" s="76">
        <v>-1950.23</v>
      </c>
      <c r="AH313" s="76"/>
      <c r="AI313" s="76">
        <v>13344.34</v>
      </c>
      <c r="AJ313" s="76"/>
      <c r="AK313" s="76">
        <v>11394.11</v>
      </c>
      <c r="AL313" s="24">
        <f>+'Gen Rev'!AI313-'Gen Exp'!AE313+'Gen Exp'!AI313-AK313</f>
        <v>0</v>
      </c>
      <c r="AM313" s="41" t="str">
        <f>'Gen Rev'!A313</f>
        <v>Jerry City</v>
      </c>
      <c r="AN313" s="21" t="str">
        <f t="shared" si="33"/>
        <v>Jerry City</v>
      </c>
      <c r="AO313" s="21" t="b">
        <f t="shared" si="34"/>
        <v>1</v>
      </c>
    </row>
    <row r="314" spans="1:41" s="47" customFormat="1" ht="12" customHeight="1" x14ac:dyDescent="0.2">
      <c r="A314" s="15" t="s">
        <v>102</v>
      </c>
      <c r="B314" s="15"/>
      <c r="C314" s="15" t="s">
        <v>403</v>
      </c>
      <c r="D314" s="23"/>
      <c r="E314" s="76">
        <v>36127.620000000003</v>
      </c>
      <c r="F314" s="76"/>
      <c r="G314" s="76">
        <v>0</v>
      </c>
      <c r="H314" s="76"/>
      <c r="I314" s="76">
        <v>0</v>
      </c>
      <c r="J314" s="76"/>
      <c r="K314" s="76">
        <v>0</v>
      </c>
      <c r="L314" s="76"/>
      <c r="M314" s="76">
        <v>0</v>
      </c>
      <c r="N314" s="76"/>
      <c r="O314" s="76">
        <v>0</v>
      </c>
      <c r="P314" s="76"/>
      <c r="Q314" s="76">
        <v>84618.15</v>
      </c>
      <c r="R314" s="76"/>
      <c r="S314" s="76">
        <v>0</v>
      </c>
      <c r="T314" s="76"/>
      <c r="U314" s="76">
        <v>51118.91</v>
      </c>
      <c r="V314" s="76"/>
      <c r="W314" s="76">
        <v>192.98</v>
      </c>
      <c r="X314" s="76"/>
      <c r="Y314" s="76">
        <v>0</v>
      </c>
      <c r="Z314" s="76"/>
      <c r="AA314" s="76">
        <v>0</v>
      </c>
      <c r="AB314" s="76"/>
      <c r="AC314" s="76">
        <v>482.9</v>
      </c>
      <c r="AD314" s="76"/>
      <c r="AE314" s="76">
        <f t="shared" si="32"/>
        <v>172540.56</v>
      </c>
      <c r="AF314" s="76"/>
      <c r="AG314" s="76">
        <v>-67269.929999999993</v>
      </c>
      <c r="AH314" s="76"/>
      <c r="AI314" s="76">
        <v>124516.85</v>
      </c>
      <c r="AJ314" s="76"/>
      <c r="AK314" s="76">
        <v>57246.92</v>
      </c>
      <c r="AL314" s="24">
        <f>+'Gen Rev'!AI314-'Gen Exp'!AE314+'Gen Exp'!AI314-AK314</f>
        <v>0</v>
      </c>
      <c r="AM314" s="41" t="str">
        <f>'Gen Rev'!A314</f>
        <v>Jewett</v>
      </c>
      <c r="AN314" s="21" t="str">
        <f t="shared" si="33"/>
        <v>Jewett</v>
      </c>
      <c r="AO314" s="21" t="b">
        <f t="shared" si="34"/>
        <v>1</v>
      </c>
    </row>
    <row r="315" spans="1:41" s="21" customFormat="1" ht="12" hidden="1" customHeight="1" x14ac:dyDescent="0.2">
      <c r="A315" s="15" t="s">
        <v>131</v>
      </c>
      <c r="B315" s="15"/>
      <c r="C315" s="15" t="s">
        <v>439</v>
      </c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>
        <f t="shared" si="32"/>
        <v>0</v>
      </c>
      <c r="AF315" s="76"/>
      <c r="AG315" s="76"/>
      <c r="AH315" s="76"/>
      <c r="AI315" s="76"/>
      <c r="AJ315" s="76"/>
      <c r="AK315" s="76"/>
      <c r="AL315" s="24">
        <f>+'Gen Rev'!AI315-'Gen Exp'!AE315+'Gen Exp'!AI315-AK315</f>
        <v>0</v>
      </c>
      <c r="AM315" s="41" t="str">
        <f>'Gen Rev'!A315</f>
        <v>Johnstown</v>
      </c>
      <c r="AN315" s="21" t="str">
        <f t="shared" si="33"/>
        <v>Johnstown</v>
      </c>
      <c r="AO315" s="21" t="b">
        <f t="shared" si="34"/>
        <v>1</v>
      </c>
    </row>
    <row r="316" spans="1:41" s="21" customFormat="1" ht="12" customHeight="1" x14ac:dyDescent="0.2">
      <c r="A316" s="1" t="s">
        <v>694</v>
      </c>
      <c r="B316" s="1"/>
      <c r="C316" s="1" t="s">
        <v>500</v>
      </c>
      <c r="D316" s="1"/>
      <c r="E316" s="76">
        <v>28671</v>
      </c>
      <c r="F316" s="76"/>
      <c r="G316" s="76">
        <v>0</v>
      </c>
      <c r="H316" s="76"/>
      <c r="I316" s="76">
        <v>0</v>
      </c>
      <c r="J316" s="76"/>
      <c r="K316" s="76">
        <v>0</v>
      </c>
      <c r="L316" s="76"/>
      <c r="M316" s="76">
        <v>12848</v>
      </c>
      <c r="N316" s="76"/>
      <c r="O316" s="76">
        <v>2061</v>
      </c>
      <c r="P316" s="76"/>
      <c r="Q316" s="76">
        <v>10214</v>
      </c>
      <c r="R316" s="76"/>
      <c r="S316" s="76">
        <v>0</v>
      </c>
      <c r="T316" s="76"/>
      <c r="U316" s="76">
        <v>0</v>
      </c>
      <c r="V316" s="76"/>
      <c r="W316" s="76">
        <v>0</v>
      </c>
      <c r="X316" s="76"/>
      <c r="Y316" s="76">
        <v>0</v>
      </c>
      <c r="Z316" s="76"/>
      <c r="AA316" s="76">
        <v>0</v>
      </c>
      <c r="AB316" s="76"/>
      <c r="AC316" s="76">
        <v>0</v>
      </c>
      <c r="AD316" s="76"/>
      <c r="AE316" s="76">
        <f t="shared" si="32"/>
        <v>53794</v>
      </c>
      <c r="AF316" s="76"/>
      <c r="AG316" s="76">
        <v>7408</v>
      </c>
      <c r="AH316" s="76"/>
      <c r="AI316" s="76">
        <v>32313</v>
      </c>
      <c r="AJ316" s="76"/>
      <c r="AK316" s="76">
        <v>39721</v>
      </c>
      <c r="AL316" s="24">
        <f>+'Gen Rev'!AI316-'Gen Exp'!AE316+'Gen Exp'!AI316-AK316</f>
        <v>0</v>
      </c>
      <c r="AM316" s="41" t="str">
        <f>'Gen Rev'!A316</f>
        <v>Junction City</v>
      </c>
      <c r="AN316" s="21" t="str">
        <f t="shared" si="33"/>
        <v>Junction City</v>
      </c>
      <c r="AO316" s="21" t="b">
        <f t="shared" si="34"/>
        <v>1</v>
      </c>
    </row>
    <row r="317" spans="1:41" ht="12" customHeight="1" x14ac:dyDescent="0.2">
      <c r="A317" s="1" t="s">
        <v>829</v>
      </c>
      <c r="C317" s="1" t="s">
        <v>513</v>
      </c>
      <c r="D317" s="23"/>
      <c r="E317" s="76">
        <v>62774.28</v>
      </c>
      <c r="F317" s="76"/>
      <c r="G317" s="76">
        <v>0</v>
      </c>
      <c r="H317" s="76"/>
      <c r="I317" s="76">
        <v>6000</v>
      </c>
      <c r="J317" s="76"/>
      <c r="K317" s="76">
        <v>0</v>
      </c>
      <c r="L317" s="76"/>
      <c r="M317" s="76">
        <v>1700.01</v>
      </c>
      <c r="N317" s="76"/>
      <c r="O317" s="76">
        <v>3500</v>
      </c>
      <c r="P317" s="76"/>
      <c r="Q317" s="76">
        <v>259459.5</v>
      </c>
      <c r="R317" s="76"/>
      <c r="S317" s="76">
        <v>0</v>
      </c>
      <c r="T317" s="76"/>
      <c r="U317" s="76">
        <v>0</v>
      </c>
      <c r="V317" s="76"/>
      <c r="W317" s="76">
        <v>0</v>
      </c>
      <c r="X317" s="76"/>
      <c r="Y317" s="76">
        <v>92000</v>
      </c>
      <c r="Z317" s="76"/>
      <c r="AA317" s="76">
        <v>4000</v>
      </c>
      <c r="AB317" s="76"/>
      <c r="AC317" s="76">
        <v>0</v>
      </c>
      <c r="AD317" s="76"/>
      <c r="AE317" s="76">
        <f t="shared" si="32"/>
        <v>429433.79</v>
      </c>
      <c r="AF317" s="76"/>
      <c r="AG317" s="76">
        <v>384483.39</v>
      </c>
      <c r="AH317" s="76"/>
      <c r="AI317" s="76">
        <v>1067974.1599999999</v>
      </c>
      <c r="AJ317" s="76"/>
      <c r="AK317" s="76">
        <v>1452457.55</v>
      </c>
      <c r="AL317" s="24">
        <f>+'Gen Rev'!AI317-'Gen Exp'!AE317+'Gen Exp'!AI317-AK317</f>
        <v>0</v>
      </c>
      <c r="AM317" s="41" t="str">
        <f>'Gen Rev'!A317</f>
        <v>Kalida</v>
      </c>
      <c r="AN317" s="21" t="str">
        <f t="shared" si="33"/>
        <v>Kalida</v>
      </c>
      <c r="AO317" s="21" t="b">
        <f t="shared" si="34"/>
        <v>1</v>
      </c>
    </row>
    <row r="318" spans="1:41" s="21" customFormat="1" ht="12" customHeight="1" x14ac:dyDescent="0.2">
      <c r="A318" s="1" t="s">
        <v>695</v>
      </c>
      <c r="B318" s="1"/>
      <c r="C318" s="1" t="s">
        <v>348</v>
      </c>
      <c r="D318" s="1"/>
      <c r="E318" s="76">
        <v>179198</v>
      </c>
      <c r="F318" s="76"/>
      <c r="G318" s="76">
        <v>1699</v>
      </c>
      <c r="H318" s="76"/>
      <c r="I318" s="76">
        <v>0</v>
      </c>
      <c r="J318" s="76"/>
      <c r="K318" s="76">
        <v>13862</v>
      </c>
      <c r="L318" s="76"/>
      <c r="M318" s="76">
        <v>0</v>
      </c>
      <c r="N318" s="76"/>
      <c r="O318" s="76">
        <v>923</v>
      </c>
      <c r="P318" s="76"/>
      <c r="Q318" s="76">
        <v>269786</v>
      </c>
      <c r="R318" s="76"/>
      <c r="S318" s="76">
        <v>4055</v>
      </c>
      <c r="T318" s="76"/>
      <c r="U318" s="76">
        <v>0</v>
      </c>
      <c r="V318" s="76"/>
      <c r="W318" s="76">
        <v>0</v>
      </c>
      <c r="X318" s="76"/>
      <c r="Y318" s="76">
        <v>16</v>
      </c>
      <c r="Z318" s="76"/>
      <c r="AA318" s="76">
        <v>0</v>
      </c>
      <c r="AB318" s="76"/>
      <c r="AC318" s="76">
        <v>8</v>
      </c>
      <c r="AD318" s="76"/>
      <c r="AE318" s="76">
        <f t="shared" si="32"/>
        <v>469547</v>
      </c>
      <c r="AF318" s="76"/>
      <c r="AG318" s="76">
        <v>193889</v>
      </c>
      <c r="AH318" s="76"/>
      <c r="AI318" s="76">
        <v>179194</v>
      </c>
      <c r="AJ318" s="76"/>
      <c r="AK318" s="76">
        <v>373084</v>
      </c>
      <c r="AL318" s="24">
        <f>+'Gen Rev'!AI318-'Gen Exp'!AE318+'Gen Exp'!AI318-AK318</f>
        <v>0</v>
      </c>
      <c r="AM318" s="41" t="str">
        <f>'Gen Rev'!A318</f>
        <v>Kelley's Island</v>
      </c>
      <c r="AN318" s="21" t="str">
        <f t="shared" si="33"/>
        <v>Kelley's Island</v>
      </c>
      <c r="AO318" s="21" t="b">
        <f t="shared" si="34"/>
        <v>1</v>
      </c>
    </row>
    <row r="319" spans="1:41" ht="12" customHeight="1" x14ac:dyDescent="0.2">
      <c r="A319" s="15" t="s">
        <v>961</v>
      </c>
      <c r="B319" s="15"/>
      <c r="C319" s="15" t="s">
        <v>536</v>
      </c>
      <c r="D319" s="15"/>
      <c r="E319" s="76">
        <v>3608</v>
      </c>
      <c r="F319" s="76"/>
      <c r="G319" s="76">
        <v>724</v>
      </c>
      <c r="H319" s="76"/>
      <c r="I319" s="76">
        <v>0</v>
      </c>
      <c r="J319" s="76"/>
      <c r="K319" s="76">
        <v>0</v>
      </c>
      <c r="L319" s="76"/>
      <c r="M319" s="76">
        <v>0</v>
      </c>
      <c r="N319" s="76"/>
      <c r="O319" s="76">
        <v>2750</v>
      </c>
      <c r="P319" s="76"/>
      <c r="Q319" s="76">
        <v>18179</v>
      </c>
      <c r="R319" s="76"/>
      <c r="S319" s="76">
        <v>0</v>
      </c>
      <c r="T319" s="76"/>
      <c r="U319" s="76">
        <v>0</v>
      </c>
      <c r="V319" s="76"/>
      <c r="W319" s="76">
        <v>0</v>
      </c>
      <c r="X319" s="76"/>
      <c r="Y319" s="76">
        <v>0</v>
      </c>
      <c r="Z319" s="76"/>
      <c r="AA319" s="76">
        <v>0</v>
      </c>
      <c r="AB319" s="76"/>
      <c r="AC319" s="76">
        <v>0</v>
      </c>
      <c r="AD319" s="76"/>
      <c r="AE319" s="76">
        <f t="shared" si="32"/>
        <v>25261</v>
      </c>
      <c r="AF319" s="76"/>
      <c r="AG319" s="76">
        <v>12408</v>
      </c>
      <c r="AH319" s="76"/>
      <c r="AI319" s="76">
        <v>0</v>
      </c>
      <c r="AJ319" s="76"/>
      <c r="AK319" s="76">
        <v>12408</v>
      </c>
      <c r="AL319" s="24">
        <f>+'Gen Rev'!AI319-'Gen Exp'!AE319+'Gen Exp'!AI319-AK319</f>
        <v>0</v>
      </c>
      <c r="AM319" s="41" t="str">
        <f>'Gen Rev'!A319</f>
        <v>Kettlersville</v>
      </c>
      <c r="AN319" s="21" t="str">
        <f t="shared" si="33"/>
        <v>Kettlersville</v>
      </c>
      <c r="AO319" s="21" t="b">
        <f t="shared" si="34"/>
        <v>1</v>
      </c>
    </row>
    <row r="320" spans="1:41" ht="12" customHeight="1" x14ac:dyDescent="0.2">
      <c r="A320" s="1" t="s">
        <v>889</v>
      </c>
      <c r="C320" s="1" t="s">
        <v>412</v>
      </c>
      <c r="D320" s="23"/>
      <c r="E320" s="76">
        <v>22872</v>
      </c>
      <c r="F320" s="76"/>
      <c r="G320" s="76">
        <v>236</v>
      </c>
      <c r="H320" s="76"/>
      <c r="I320" s="76">
        <v>26709</v>
      </c>
      <c r="J320" s="76"/>
      <c r="K320" s="76">
        <v>0</v>
      </c>
      <c r="L320" s="76"/>
      <c r="M320" s="76">
        <v>0</v>
      </c>
      <c r="N320" s="76"/>
      <c r="O320" s="76">
        <v>30925</v>
      </c>
      <c r="P320" s="76"/>
      <c r="Q320" s="76">
        <v>77477</v>
      </c>
      <c r="R320" s="76"/>
      <c r="S320" s="76">
        <v>0</v>
      </c>
      <c r="T320" s="76"/>
      <c r="U320" s="76">
        <v>0</v>
      </c>
      <c r="V320" s="76"/>
      <c r="W320" s="76">
        <v>0</v>
      </c>
      <c r="X320" s="76"/>
      <c r="Y320" s="76">
        <v>0</v>
      </c>
      <c r="Z320" s="76"/>
      <c r="AA320" s="76">
        <v>0</v>
      </c>
      <c r="AB320" s="76"/>
      <c r="AC320" s="76">
        <v>0</v>
      </c>
      <c r="AD320" s="76"/>
      <c r="AE320" s="76">
        <f t="shared" si="32"/>
        <v>158219</v>
      </c>
      <c r="AF320" s="76"/>
      <c r="AG320" s="76">
        <v>22302</v>
      </c>
      <c r="AH320" s="76"/>
      <c r="AI320" s="76">
        <v>164768</v>
      </c>
      <c r="AJ320" s="76"/>
      <c r="AK320" s="76">
        <v>187070</v>
      </c>
      <c r="AL320" s="24">
        <f>+'Gen Rev'!AI320-'Gen Exp'!AE320+'Gen Exp'!AI320-AK320</f>
        <v>0</v>
      </c>
      <c r="AM320" s="41" t="str">
        <f>'Gen Rev'!A320</f>
        <v>Killbuck</v>
      </c>
      <c r="AN320" s="21" t="str">
        <f t="shared" si="33"/>
        <v>Killbuck</v>
      </c>
      <c r="AO320" s="21" t="b">
        <f t="shared" si="34"/>
        <v>1</v>
      </c>
    </row>
    <row r="321" spans="1:41" s="21" customFormat="1" ht="12" customHeight="1" x14ac:dyDescent="0.2">
      <c r="A321" s="1" t="s">
        <v>213</v>
      </c>
      <c r="B321" s="1"/>
      <c r="C321" s="1" t="s">
        <v>799</v>
      </c>
      <c r="D321" s="10"/>
      <c r="E321" s="76">
        <v>7785.06</v>
      </c>
      <c r="F321" s="76"/>
      <c r="G321" s="76">
        <v>0</v>
      </c>
      <c r="H321" s="76"/>
      <c r="I321" s="76">
        <v>0</v>
      </c>
      <c r="J321" s="76"/>
      <c r="K321" s="76">
        <v>2614.65</v>
      </c>
      <c r="L321" s="76"/>
      <c r="M321" s="76">
        <v>0</v>
      </c>
      <c r="N321" s="76"/>
      <c r="O321" s="76">
        <v>0</v>
      </c>
      <c r="P321" s="76"/>
      <c r="Q321" s="76">
        <v>53274.55</v>
      </c>
      <c r="R321" s="76"/>
      <c r="S321" s="76">
        <v>0</v>
      </c>
      <c r="T321" s="76"/>
      <c r="U321" s="76">
        <v>0</v>
      </c>
      <c r="V321" s="76"/>
      <c r="W321" s="76">
        <v>0</v>
      </c>
      <c r="X321" s="76"/>
      <c r="Y321" s="76">
        <v>1313</v>
      </c>
      <c r="Z321" s="76"/>
      <c r="AA321" s="76">
        <v>0</v>
      </c>
      <c r="AB321" s="76"/>
      <c r="AC321" s="76">
        <v>25</v>
      </c>
      <c r="AD321" s="76"/>
      <c r="AE321" s="76">
        <f t="shared" si="32"/>
        <v>65012.26</v>
      </c>
      <c r="AF321" s="76"/>
      <c r="AG321" s="76">
        <v>-3792.24</v>
      </c>
      <c r="AH321" s="76"/>
      <c r="AI321" s="76">
        <v>342268.78</v>
      </c>
      <c r="AJ321" s="76"/>
      <c r="AK321" s="76">
        <v>338476.54</v>
      </c>
      <c r="AL321" s="24">
        <f>+'Gen Rev'!AI321-'Gen Exp'!AE321+'Gen Exp'!AI321-AK321</f>
        <v>0</v>
      </c>
      <c r="AM321" s="41" t="str">
        <f>'Gen Rev'!A321</f>
        <v>Kingston</v>
      </c>
      <c r="AN321" s="21" t="str">
        <f t="shared" si="33"/>
        <v>Kingston</v>
      </c>
      <c r="AO321" s="21" t="b">
        <f t="shared" si="34"/>
        <v>1</v>
      </c>
    </row>
    <row r="322" spans="1:41" s="31" customFormat="1" ht="12" customHeight="1" x14ac:dyDescent="0.2">
      <c r="A322" s="1" t="s">
        <v>136</v>
      </c>
      <c r="B322" s="1"/>
      <c r="C322" s="1" t="s">
        <v>776</v>
      </c>
      <c r="D322" s="23"/>
      <c r="E322" s="76">
        <v>14924.56</v>
      </c>
      <c r="F322" s="76"/>
      <c r="G322" s="76">
        <v>0</v>
      </c>
      <c r="H322" s="76"/>
      <c r="I322" s="76">
        <v>0</v>
      </c>
      <c r="J322" s="76"/>
      <c r="K322" s="76">
        <v>0</v>
      </c>
      <c r="L322" s="76"/>
      <c r="M322" s="76">
        <v>0</v>
      </c>
      <c r="N322" s="76"/>
      <c r="O322" s="76">
        <v>2929.91</v>
      </c>
      <c r="P322" s="76"/>
      <c r="Q322" s="76">
        <v>21266.7</v>
      </c>
      <c r="R322" s="76"/>
      <c r="S322" s="76">
        <v>0</v>
      </c>
      <c r="T322" s="76"/>
      <c r="U322" s="76">
        <v>1973.72</v>
      </c>
      <c r="V322" s="76"/>
      <c r="W322" s="76">
        <v>452.04</v>
      </c>
      <c r="X322" s="76"/>
      <c r="Y322" s="76">
        <v>0</v>
      </c>
      <c r="Z322" s="76"/>
      <c r="AA322" s="76">
        <v>0</v>
      </c>
      <c r="AB322" s="76"/>
      <c r="AC322" s="76">
        <v>0</v>
      </c>
      <c r="AD322" s="76"/>
      <c r="AE322" s="76">
        <f t="shared" si="32"/>
        <v>41546.93</v>
      </c>
      <c r="AF322" s="76"/>
      <c r="AG322" s="76">
        <v>2137.59</v>
      </c>
      <c r="AH322" s="76"/>
      <c r="AI322" s="76">
        <v>28145.68</v>
      </c>
      <c r="AJ322" s="76"/>
      <c r="AK322" s="76">
        <v>30283.27</v>
      </c>
      <c r="AL322" s="24">
        <f>+'Gen Rev'!AI322-'Gen Exp'!AE322+'Gen Exp'!AI322-AK322</f>
        <v>0</v>
      </c>
      <c r="AM322" s="41" t="str">
        <f>'Gen Rev'!A322</f>
        <v>Kipton</v>
      </c>
      <c r="AN322" s="21" t="str">
        <f t="shared" si="33"/>
        <v>Kipton</v>
      </c>
      <c r="AO322" s="21" t="b">
        <f t="shared" si="34"/>
        <v>1</v>
      </c>
    </row>
    <row r="323" spans="1:41" ht="12" customHeight="1" x14ac:dyDescent="0.2">
      <c r="A323" s="1" t="s">
        <v>265</v>
      </c>
      <c r="C323" s="1" t="s">
        <v>814</v>
      </c>
      <c r="E323" s="76">
        <v>7345.62</v>
      </c>
      <c r="F323" s="76"/>
      <c r="G323" s="76">
        <v>1194.73</v>
      </c>
      <c r="H323" s="76"/>
      <c r="I323" s="76">
        <v>0</v>
      </c>
      <c r="J323" s="76"/>
      <c r="K323" s="76">
        <v>0</v>
      </c>
      <c r="L323" s="76"/>
      <c r="M323" s="76">
        <v>0</v>
      </c>
      <c r="N323" s="76"/>
      <c r="O323" s="76">
        <v>171.47</v>
      </c>
      <c r="P323" s="76"/>
      <c r="Q323" s="76">
        <v>11342.56</v>
      </c>
      <c r="R323" s="76"/>
      <c r="S323" s="76">
        <v>0</v>
      </c>
      <c r="T323" s="76"/>
      <c r="U323" s="76">
        <v>0</v>
      </c>
      <c r="V323" s="76"/>
      <c r="W323" s="76">
        <v>0</v>
      </c>
      <c r="X323" s="76"/>
      <c r="Y323" s="76">
        <v>0</v>
      </c>
      <c r="Z323" s="76"/>
      <c r="AA323" s="76">
        <v>0</v>
      </c>
      <c r="AB323" s="76"/>
      <c r="AC323" s="76">
        <v>0</v>
      </c>
      <c r="AD323" s="76"/>
      <c r="AE323" s="76">
        <f t="shared" si="32"/>
        <v>20054.379999999997</v>
      </c>
      <c r="AF323" s="76"/>
      <c r="AG323" s="76">
        <v>-3566.16</v>
      </c>
      <c r="AH323" s="76"/>
      <c r="AI323" s="76">
        <v>38028.800000000003</v>
      </c>
      <c r="AJ323" s="76"/>
      <c r="AK323" s="76">
        <v>34462.639999999999</v>
      </c>
      <c r="AL323" s="24">
        <f>+'Gen Rev'!AI323-'Gen Exp'!AE323+'Gen Exp'!AI323-AK323</f>
        <v>0</v>
      </c>
      <c r="AM323" s="41" t="str">
        <f>'Gen Rev'!A323</f>
        <v>Kirby</v>
      </c>
      <c r="AN323" s="21" t="str">
        <f t="shared" si="33"/>
        <v>Kirby</v>
      </c>
      <c r="AO323" s="21" t="b">
        <f t="shared" si="34"/>
        <v>1</v>
      </c>
    </row>
    <row r="324" spans="1:41" ht="12" customHeight="1" x14ac:dyDescent="0.2">
      <c r="A324" s="1" t="s">
        <v>696</v>
      </c>
      <c r="C324" s="1" t="s">
        <v>439</v>
      </c>
      <c r="D324" s="23"/>
      <c r="E324" s="76">
        <v>38058.5</v>
      </c>
      <c r="F324" s="76"/>
      <c r="G324" s="76">
        <v>0</v>
      </c>
      <c r="H324" s="76"/>
      <c r="I324" s="76">
        <v>0</v>
      </c>
      <c r="J324" s="76"/>
      <c r="K324" s="76">
        <v>1289.73</v>
      </c>
      <c r="L324" s="76"/>
      <c r="M324" s="76">
        <v>0</v>
      </c>
      <c r="N324" s="76"/>
      <c r="O324" s="76">
        <v>0</v>
      </c>
      <c r="P324" s="76"/>
      <c r="Q324" s="76">
        <v>144463.51999999999</v>
      </c>
      <c r="R324" s="76"/>
      <c r="S324" s="76">
        <v>7500</v>
      </c>
      <c r="T324" s="76"/>
      <c r="U324" s="76">
        <v>0</v>
      </c>
      <c r="V324" s="76"/>
      <c r="W324" s="76">
        <v>0</v>
      </c>
      <c r="X324" s="76"/>
      <c r="Y324" s="76">
        <v>0</v>
      </c>
      <c r="Z324" s="76"/>
      <c r="AA324" s="76">
        <v>0</v>
      </c>
      <c r="AB324" s="76"/>
      <c r="AC324" s="76">
        <v>0</v>
      </c>
      <c r="AD324" s="76"/>
      <c r="AE324" s="76">
        <f t="shared" si="32"/>
        <v>191311.75</v>
      </c>
      <c r="AF324" s="76"/>
      <c r="AG324" s="76">
        <v>-9252.8799999999992</v>
      </c>
      <c r="AH324" s="76"/>
      <c r="AI324" s="76">
        <v>10962.72</v>
      </c>
      <c r="AJ324" s="76"/>
      <c r="AK324" s="76">
        <v>1709.84</v>
      </c>
      <c r="AL324" s="24">
        <f>+'Gen Rev'!AI324-'Gen Exp'!AE324+'Gen Exp'!AI324-AK324</f>
        <v>-5.2295945351943374E-12</v>
      </c>
      <c r="AM324" s="41" t="str">
        <f>'Gen Rev'!A324</f>
        <v>Kirkersville</v>
      </c>
      <c r="AN324" s="21" t="str">
        <f t="shared" si="33"/>
        <v>Kirkersville</v>
      </c>
      <c r="AO324" s="21" t="b">
        <f t="shared" si="34"/>
        <v>1</v>
      </c>
    </row>
    <row r="325" spans="1:41" s="21" customFormat="1" ht="12" customHeight="1" x14ac:dyDescent="0.2">
      <c r="A325" s="1" t="s">
        <v>904</v>
      </c>
      <c r="B325" s="1"/>
      <c r="C325" s="1" t="s">
        <v>430</v>
      </c>
      <c r="D325" s="1"/>
      <c r="E325" s="76">
        <v>1290035</v>
      </c>
      <c r="F325" s="76"/>
      <c r="G325" s="76">
        <v>16642</v>
      </c>
      <c r="H325" s="76"/>
      <c r="I325" s="76">
        <v>2610</v>
      </c>
      <c r="J325" s="76"/>
      <c r="K325" s="76">
        <v>0</v>
      </c>
      <c r="L325" s="76"/>
      <c r="M325" s="76">
        <v>62500</v>
      </c>
      <c r="N325" s="76"/>
      <c r="O325" s="76">
        <v>360385</v>
      </c>
      <c r="P325" s="76"/>
      <c r="Q325" s="76">
        <v>245571</v>
      </c>
      <c r="R325" s="76"/>
      <c r="S325" s="76">
        <v>0</v>
      </c>
      <c r="T325" s="76"/>
      <c r="U325" s="76">
        <v>0</v>
      </c>
      <c r="V325" s="76"/>
      <c r="W325" s="76">
        <v>0</v>
      </c>
      <c r="X325" s="76"/>
      <c r="Y325" s="76">
        <v>838076</v>
      </c>
      <c r="Z325" s="76"/>
      <c r="AA325" s="76">
        <v>0</v>
      </c>
      <c r="AB325" s="76"/>
      <c r="AC325" s="76">
        <v>0</v>
      </c>
      <c r="AD325" s="76"/>
      <c r="AE325" s="76">
        <f t="shared" si="32"/>
        <v>2815819</v>
      </c>
      <c r="AF325" s="76"/>
      <c r="AG325" s="76">
        <v>-125017</v>
      </c>
      <c r="AH325" s="76"/>
      <c r="AI325" s="76">
        <v>1175516</v>
      </c>
      <c r="AJ325" s="76"/>
      <c r="AK325" s="76">
        <v>1050499</v>
      </c>
      <c r="AL325" s="24">
        <f>+'Gen Rev'!AI325-'Gen Exp'!AE325+'Gen Exp'!AI325-AK325</f>
        <v>0</v>
      </c>
      <c r="AM325" s="41" t="str">
        <f>'Gen Rev'!A325</f>
        <v>Kirtland Hills</v>
      </c>
      <c r="AN325" s="21" t="str">
        <f t="shared" si="33"/>
        <v>Kirtland Hills</v>
      </c>
      <c r="AO325" s="21" t="b">
        <f t="shared" si="34"/>
        <v>1</v>
      </c>
    </row>
    <row r="326" spans="1:41" ht="12" customHeight="1" x14ac:dyDescent="0.2">
      <c r="A326" s="1" t="s">
        <v>967</v>
      </c>
      <c r="C326" s="1" t="s">
        <v>463</v>
      </c>
      <c r="D326" s="23"/>
      <c r="E326" s="76">
        <v>26474.75</v>
      </c>
      <c r="F326" s="76"/>
      <c r="G326" s="76">
        <v>0</v>
      </c>
      <c r="H326" s="76"/>
      <c r="I326" s="76">
        <v>9393.19</v>
      </c>
      <c r="J326" s="76"/>
      <c r="K326" s="76">
        <v>0</v>
      </c>
      <c r="L326" s="76"/>
      <c r="M326" s="76">
        <v>0</v>
      </c>
      <c r="N326" s="76"/>
      <c r="O326" s="76">
        <v>26319</v>
      </c>
      <c r="P326" s="76"/>
      <c r="Q326" s="76">
        <v>43278.71</v>
      </c>
      <c r="R326" s="76"/>
      <c r="S326" s="76">
        <v>0</v>
      </c>
      <c r="T326" s="76"/>
      <c r="U326" s="76">
        <v>0</v>
      </c>
      <c r="V326" s="76"/>
      <c r="W326" s="76">
        <v>0</v>
      </c>
      <c r="X326" s="76"/>
      <c r="Y326" s="76">
        <v>0</v>
      </c>
      <c r="Z326" s="76"/>
      <c r="AA326" s="76">
        <v>0</v>
      </c>
      <c r="AB326" s="76"/>
      <c r="AC326" s="76">
        <v>0</v>
      </c>
      <c r="AD326" s="76"/>
      <c r="AE326" s="76">
        <f t="shared" si="32"/>
        <v>105465.65</v>
      </c>
      <c r="AF326" s="76"/>
      <c r="AG326" s="76">
        <v>6663.78</v>
      </c>
      <c r="AH326" s="76"/>
      <c r="AI326" s="76">
        <v>13120.33</v>
      </c>
      <c r="AJ326" s="76"/>
      <c r="AK326" s="76">
        <v>19784.11</v>
      </c>
      <c r="AL326" s="24">
        <f>+'Gen Rev'!AI326-'Gen Exp'!AE326+'Gen Exp'!AI326-AK326</f>
        <v>0</v>
      </c>
      <c r="AM326" s="41" t="str">
        <f>'Gen Rev'!A326</f>
        <v>La Rue</v>
      </c>
      <c r="AN326" s="21" t="str">
        <f t="shared" si="33"/>
        <v>La Rue</v>
      </c>
      <c r="AO326" s="21" t="b">
        <f t="shared" si="34"/>
        <v>1</v>
      </c>
    </row>
    <row r="327" spans="1:41" ht="12" customHeight="1" x14ac:dyDescent="0.2">
      <c r="A327" s="1" t="s">
        <v>5</v>
      </c>
      <c r="C327" s="1" t="s">
        <v>737</v>
      </c>
      <c r="E327" s="76">
        <v>15358.35</v>
      </c>
      <c r="F327" s="76"/>
      <c r="G327" s="76">
        <v>0</v>
      </c>
      <c r="H327" s="76"/>
      <c r="I327" s="76">
        <v>0</v>
      </c>
      <c r="J327" s="76"/>
      <c r="K327" s="76">
        <v>0</v>
      </c>
      <c r="L327" s="76"/>
      <c r="M327" s="76">
        <v>0</v>
      </c>
      <c r="N327" s="76"/>
      <c r="O327" s="76">
        <v>0</v>
      </c>
      <c r="P327" s="76"/>
      <c r="Q327" s="76">
        <v>22216.23</v>
      </c>
      <c r="R327" s="76"/>
      <c r="S327" s="76">
        <v>0</v>
      </c>
      <c r="T327" s="76"/>
      <c r="U327" s="76">
        <v>640.98</v>
      </c>
      <c r="V327" s="76"/>
      <c r="W327" s="76">
        <v>129.31</v>
      </c>
      <c r="X327" s="76"/>
      <c r="Y327" s="76">
        <v>6485.58</v>
      </c>
      <c r="Z327" s="76"/>
      <c r="AA327" s="76">
        <v>0</v>
      </c>
      <c r="AB327" s="76"/>
      <c r="AC327" s="76">
        <v>0</v>
      </c>
      <c r="AD327" s="76"/>
      <c r="AE327" s="76">
        <f t="shared" si="32"/>
        <v>44830.450000000004</v>
      </c>
      <c r="AF327" s="76"/>
      <c r="AG327" s="76">
        <v>4762.93</v>
      </c>
      <c r="AH327" s="76"/>
      <c r="AI327" s="76">
        <v>19373.36</v>
      </c>
      <c r="AJ327" s="76"/>
      <c r="AK327" s="76">
        <v>24136.29</v>
      </c>
      <c r="AL327" s="24">
        <f>+'Gen Rev'!AI327-'Gen Exp'!AE327+'Gen Exp'!AI327-AK327</f>
        <v>0</v>
      </c>
      <c r="AM327" s="41" t="str">
        <f>'Gen Rev'!A327</f>
        <v>Lafayette</v>
      </c>
      <c r="AN327" s="21" t="str">
        <f t="shared" si="33"/>
        <v>Lafayette</v>
      </c>
      <c r="AO327" s="21" t="b">
        <f t="shared" si="34"/>
        <v>1</v>
      </c>
    </row>
    <row r="328" spans="1:41" s="21" customFormat="1" ht="12" customHeight="1" x14ac:dyDescent="0.2">
      <c r="A328" s="1" t="s">
        <v>137</v>
      </c>
      <c r="B328" s="1"/>
      <c r="C328" s="1" t="s">
        <v>776</v>
      </c>
      <c r="D328" s="23"/>
      <c r="E328" s="76">
        <v>506868.09</v>
      </c>
      <c r="F328" s="76"/>
      <c r="G328" s="76">
        <v>7608.44</v>
      </c>
      <c r="H328" s="76"/>
      <c r="I328" s="76">
        <v>90209.9</v>
      </c>
      <c r="J328" s="76"/>
      <c r="K328" s="76">
        <v>45177.58</v>
      </c>
      <c r="L328" s="76"/>
      <c r="M328" s="76">
        <v>154794.43</v>
      </c>
      <c r="N328" s="76"/>
      <c r="O328" s="76">
        <v>700</v>
      </c>
      <c r="P328" s="76"/>
      <c r="Q328" s="76">
        <v>420627.35</v>
      </c>
      <c r="R328" s="76"/>
      <c r="S328" s="76">
        <v>0</v>
      </c>
      <c r="T328" s="76"/>
      <c r="U328" s="76">
        <v>0</v>
      </c>
      <c r="V328" s="76"/>
      <c r="W328" s="76">
        <v>0</v>
      </c>
      <c r="X328" s="76"/>
      <c r="Y328" s="76">
        <v>152941.70000000001</v>
      </c>
      <c r="Z328" s="76"/>
      <c r="AA328" s="76">
        <v>0</v>
      </c>
      <c r="AB328" s="76"/>
      <c r="AC328" s="76">
        <v>0</v>
      </c>
      <c r="AD328" s="76"/>
      <c r="AE328" s="76">
        <f t="shared" ref="AE328:AE361" si="35">SUM(E328:AC328)</f>
        <v>1378927.49</v>
      </c>
      <c r="AF328" s="76"/>
      <c r="AG328" s="76">
        <v>29391.17</v>
      </c>
      <c r="AH328" s="76"/>
      <c r="AI328" s="76">
        <v>950987.43</v>
      </c>
      <c r="AJ328" s="76"/>
      <c r="AK328" s="76">
        <v>980378.6</v>
      </c>
      <c r="AL328" s="24">
        <f>+'Gen Rev'!AI328-'Gen Exp'!AE328+'Gen Exp'!AI328-AK328</f>
        <v>0</v>
      </c>
      <c r="AM328" s="41" t="str">
        <f>'Gen Rev'!A328</f>
        <v>Lagrange</v>
      </c>
      <c r="AN328" s="21" t="str">
        <f t="shared" ref="AN328:AN361" si="36">A328</f>
        <v>Lagrange</v>
      </c>
      <c r="AO328" s="21" t="b">
        <f t="shared" ref="AO328:AO359" si="37">AM328=AN328</f>
        <v>1</v>
      </c>
    </row>
    <row r="329" spans="1:41" s="21" customFormat="1" ht="12" customHeight="1" x14ac:dyDescent="0.2">
      <c r="A329" s="1" t="s">
        <v>698</v>
      </c>
      <c r="B329" s="1"/>
      <c r="C329" s="1" t="s">
        <v>430</v>
      </c>
      <c r="D329" s="1"/>
      <c r="E329" s="76">
        <v>51698.76</v>
      </c>
      <c r="F329" s="76"/>
      <c r="G329" s="76">
        <v>0</v>
      </c>
      <c r="H329" s="76"/>
      <c r="I329" s="76">
        <v>0</v>
      </c>
      <c r="J329" s="76"/>
      <c r="K329" s="76">
        <v>0</v>
      </c>
      <c r="L329" s="76"/>
      <c r="M329" s="76">
        <v>7078.45</v>
      </c>
      <c r="N329" s="76"/>
      <c r="O329" s="76">
        <v>0</v>
      </c>
      <c r="P329" s="76"/>
      <c r="Q329" s="76">
        <v>16314.19</v>
      </c>
      <c r="R329" s="76"/>
      <c r="S329" s="76">
        <v>0</v>
      </c>
      <c r="T329" s="76"/>
      <c r="U329" s="76">
        <v>0</v>
      </c>
      <c r="V329" s="76"/>
      <c r="W329" s="76">
        <v>0</v>
      </c>
      <c r="X329" s="76"/>
      <c r="Y329" s="76">
        <v>0</v>
      </c>
      <c r="Z329" s="76"/>
      <c r="AA329" s="76">
        <v>0</v>
      </c>
      <c r="AB329" s="76"/>
      <c r="AC329" s="76">
        <v>0</v>
      </c>
      <c r="AD329" s="76"/>
      <c r="AE329" s="76">
        <f t="shared" si="35"/>
        <v>75091.399999999994</v>
      </c>
      <c r="AF329" s="76"/>
      <c r="AG329" s="76">
        <v>132.29</v>
      </c>
      <c r="AH329" s="76"/>
      <c r="AI329" s="76">
        <v>61049.95</v>
      </c>
      <c r="AJ329" s="76"/>
      <c r="AK329" s="76">
        <v>61182.239999999998</v>
      </c>
      <c r="AL329" s="24">
        <f>+'Gen Rev'!AI329-'Gen Exp'!AE329+'Gen Exp'!AI329-AK329</f>
        <v>0</v>
      </c>
      <c r="AM329" s="41" t="str">
        <f>'Gen Rev'!A329</f>
        <v>Lakeline</v>
      </c>
      <c r="AN329" s="21" t="str">
        <f t="shared" si="36"/>
        <v>Lakeline</v>
      </c>
      <c r="AO329" s="21" t="b">
        <f t="shared" si="37"/>
        <v>1</v>
      </c>
    </row>
    <row r="330" spans="1:41" ht="12" customHeight="1" x14ac:dyDescent="0.2">
      <c r="A330" s="15" t="s">
        <v>817</v>
      </c>
      <c r="B330" s="15"/>
      <c r="C330" s="15" t="s">
        <v>549</v>
      </c>
      <c r="D330" s="23"/>
      <c r="E330" s="76">
        <v>622729.73</v>
      </c>
      <c r="F330" s="76"/>
      <c r="G330" s="76">
        <v>370.83</v>
      </c>
      <c r="H330" s="76"/>
      <c r="I330" s="76">
        <v>5332.31</v>
      </c>
      <c r="J330" s="76"/>
      <c r="K330" s="76">
        <v>3352.93</v>
      </c>
      <c r="L330" s="76"/>
      <c r="M330" s="76">
        <v>0</v>
      </c>
      <c r="N330" s="76"/>
      <c r="O330" s="76">
        <v>12218.25</v>
      </c>
      <c r="P330" s="76"/>
      <c r="Q330" s="76">
        <v>252841.39</v>
      </c>
      <c r="R330" s="76"/>
      <c r="S330" s="76">
        <v>0</v>
      </c>
      <c r="T330" s="76"/>
      <c r="U330" s="76">
        <v>0</v>
      </c>
      <c r="V330" s="76"/>
      <c r="W330" s="76">
        <v>0</v>
      </c>
      <c r="X330" s="76"/>
      <c r="Y330" s="76">
        <v>6935.07</v>
      </c>
      <c r="Z330" s="76"/>
      <c r="AA330" s="76">
        <v>0</v>
      </c>
      <c r="AB330" s="76"/>
      <c r="AC330" s="76">
        <v>16650.169999999998</v>
      </c>
      <c r="AD330" s="76"/>
      <c r="AE330" s="76">
        <f t="shared" si="35"/>
        <v>920430.68</v>
      </c>
      <c r="AF330" s="76"/>
      <c r="AG330" s="76">
        <v>248575.87</v>
      </c>
      <c r="AH330" s="76"/>
      <c r="AI330" s="76">
        <v>-1036885.78</v>
      </c>
      <c r="AJ330" s="76"/>
      <c r="AK330" s="76">
        <v>-788309.91</v>
      </c>
      <c r="AL330" s="24">
        <f>+'Gen Rev'!AI330-'Gen Exp'!AE330+'Gen Exp'!AI330-AK330</f>
        <v>0</v>
      </c>
      <c r="AM330" s="41" t="str">
        <f>'Gen Rev'!A330</f>
        <v>Lakemore</v>
      </c>
      <c r="AN330" s="21" t="str">
        <f t="shared" si="36"/>
        <v>Lakemore</v>
      </c>
      <c r="AO330" s="21" t="b">
        <f t="shared" si="37"/>
        <v>1</v>
      </c>
    </row>
    <row r="331" spans="1:41" ht="12" customHeight="1" x14ac:dyDescent="0.2">
      <c r="A331" s="1" t="s">
        <v>697</v>
      </c>
      <c r="C331" s="1" t="s">
        <v>446</v>
      </c>
      <c r="D331" s="23"/>
      <c r="E331" s="76">
        <v>90931.6</v>
      </c>
      <c r="F331" s="76"/>
      <c r="G331" s="76">
        <v>0</v>
      </c>
      <c r="H331" s="76"/>
      <c r="I331" s="76">
        <v>0</v>
      </c>
      <c r="J331" s="76"/>
      <c r="K331" s="76">
        <v>0</v>
      </c>
      <c r="L331" s="76"/>
      <c r="M331" s="76">
        <v>4418.6099999999997</v>
      </c>
      <c r="N331" s="76"/>
      <c r="O331" s="76">
        <v>15136.35</v>
      </c>
      <c r="P331" s="76"/>
      <c r="Q331" s="76">
        <v>133549.94</v>
      </c>
      <c r="R331" s="76"/>
      <c r="S331" s="76">
        <v>0</v>
      </c>
      <c r="T331" s="76"/>
      <c r="U331" s="76">
        <v>0</v>
      </c>
      <c r="V331" s="76"/>
      <c r="W331" s="76">
        <v>0</v>
      </c>
      <c r="X331" s="76"/>
      <c r="Y331" s="76">
        <v>0</v>
      </c>
      <c r="Z331" s="76"/>
      <c r="AA331" s="76">
        <v>0</v>
      </c>
      <c r="AB331" s="76"/>
      <c r="AC331" s="76">
        <v>0</v>
      </c>
      <c r="AD331" s="76"/>
      <c r="AE331" s="76">
        <f t="shared" si="35"/>
        <v>244036.5</v>
      </c>
      <c r="AF331" s="76"/>
      <c r="AG331" s="76">
        <v>4747.51</v>
      </c>
      <c r="AH331" s="76"/>
      <c r="AI331" s="76">
        <v>220034.03</v>
      </c>
      <c r="AJ331" s="76"/>
      <c r="AK331" s="76">
        <v>224781.54</v>
      </c>
      <c r="AL331" s="24">
        <f>+'Gen Rev'!AI331-'Gen Exp'!AE331+'Gen Exp'!AI331-AK331</f>
        <v>0</v>
      </c>
      <c r="AM331" s="41" t="str">
        <f>'Gen Rev'!A331</f>
        <v>Lakeview</v>
      </c>
      <c r="AN331" s="21" t="str">
        <f t="shared" si="36"/>
        <v>Lakeview</v>
      </c>
      <c r="AO331" s="21" t="b">
        <f t="shared" si="37"/>
        <v>1</v>
      </c>
    </row>
    <row r="332" spans="1:41" ht="12" customHeight="1" x14ac:dyDescent="0.2">
      <c r="A332" s="1" t="s">
        <v>184</v>
      </c>
      <c r="C332" s="1" t="s">
        <v>792</v>
      </c>
      <c r="D332" s="23"/>
      <c r="E332" s="76">
        <v>8115.57</v>
      </c>
      <c r="F332" s="76"/>
      <c r="G332" s="76">
        <v>0</v>
      </c>
      <c r="H332" s="76"/>
      <c r="I332" s="76">
        <v>0</v>
      </c>
      <c r="J332" s="76"/>
      <c r="K332" s="76">
        <v>0</v>
      </c>
      <c r="L332" s="76"/>
      <c r="M332" s="76">
        <v>0</v>
      </c>
      <c r="N332" s="76"/>
      <c r="O332" s="76">
        <v>0</v>
      </c>
      <c r="P332" s="76"/>
      <c r="Q332" s="76">
        <v>30672.41</v>
      </c>
      <c r="R332" s="76"/>
      <c r="S332" s="76">
        <v>0</v>
      </c>
      <c r="T332" s="76"/>
      <c r="U332" s="76">
        <v>0</v>
      </c>
      <c r="V332" s="76"/>
      <c r="W332" s="76">
        <v>0</v>
      </c>
      <c r="X332" s="76"/>
      <c r="Y332" s="76">
        <v>3000</v>
      </c>
      <c r="Z332" s="76"/>
      <c r="AA332" s="76">
        <v>0</v>
      </c>
      <c r="AB332" s="76"/>
      <c r="AC332" s="76">
        <v>0</v>
      </c>
      <c r="AD332" s="76"/>
      <c r="AE332" s="76">
        <f t="shared" si="35"/>
        <v>41787.979999999996</v>
      </c>
      <c r="AF332" s="76"/>
      <c r="AG332" s="76">
        <v>-1644.32</v>
      </c>
      <c r="AH332" s="76"/>
      <c r="AI332" s="76">
        <v>34817.550000000003</v>
      </c>
      <c r="AJ332" s="76"/>
      <c r="AK332" s="76">
        <v>33173.230000000003</v>
      </c>
      <c r="AL332" s="24">
        <f>+'Gen Rev'!AI332-'Gen Exp'!AE332+'Gen Exp'!AI332-AK332</f>
        <v>0</v>
      </c>
      <c r="AM332" s="41" t="str">
        <f>'Gen Rev'!A332</f>
        <v>Latty</v>
      </c>
      <c r="AN332" s="21" t="str">
        <f t="shared" si="36"/>
        <v>Latty</v>
      </c>
      <c r="AO332" s="21" t="b">
        <f t="shared" si="37"/>
        <v>1</v>
      </c>
    </row>
    <row r="333" spans="1:41" ht="12" customHeight="1" x14ac:dyDescent="0.2">
      <c r="A333" s="1" t="s">
        <v>162</v>
      </c>
      <c r="C333" s="1" t="s">
        <v>784</v>
      </c>
      <c r="E333" s="76">
        <v>4000</v>
      </c>
      <c r="F333" s="76"/>
      <c r="G333" s="76">
        <v>0</v>
      </c>
      <c r="H333" s="76"/>
      <c r="I333" s="76">
        <v>9874.84</v>
      </c>
      <c r="J333" s="76"/>
      <c r="K333" s="76">
        <v>0</v>
      </c>
      <c r="L333" s="76"/>
      <c r="M333" s="76">
        <v>2616.67</v>
      </c>
      <c r="N333" s="76"/>
      <c r="O333" s="76">
        <v>0</v>
      </c>
      <c r="P333" s="76"/>
      <c r="Q333" s="76">
        <v>24883.56</v>
      </c>
      <c r="R333" s="76"/>
      <c r="S333" s="76">
        <v>0</v>
      </c>
      <c r="T333" s="76"/>
      <c r="U333" s="76">
        <v>0</v>
      </c>
      <c r="V333" s="76"/>
      <c r="W333" s="76">
        <v>0</v>
      </c>
      <c r="X333" s="76"/>
      <c r="Y333" s="76">
        <v>0</v>
      </c>
      <c r="Z333" s="76"/>
      <c r="AA333" s="76">
        <v>41.56</v>
      </c>
      <c r="AB333" s="76"/>
      <c r="AC333" s="76">
        <v>2742.15</v>
      </c>
      <c r="AD333" s="76"/>
      <c r="AE333" s="76">
        <f t="shared" si="35"/>
        <v>44158.780000000006</v>
      </c>
      <c r="AF333" s="76"/>
      <c r="AG333" s="76">
        <v>-2832.65</v>
      </c>
      <c r="AH333" s="76"/>
      <c r="AI333" s="76">
        <v>68652.58</v>
      </c>
      <c r="AJ333" s="76"/>
      <c r="AK333" s="76">
        <v>65819.929999999993</v>
      </c>
      <c r="AL333" s="24">
        <f>+'Gen Rev'!AI333-'Gen Exp'!AE333+'Gen Exp'!AI333-AK333</f>
        <v>0</v>
      </c>
      <c r="AM333" s="41" t="str">
        <f>'Gen Rev'!A333</f>
        <v>Laura</v>
      </c>
      <c r="AN333" s="21" t="str">
        <f t="shared" si="36"/>
        <v>Laura</v>
      </c>
      <c r="AO333" s="21" t="b">
        <f t="shared" si="37"/>
        <v>1</v>
      </c>
    </row>
    <row r="334" spans="1:41" ht="12" customHeight="1" x14ac:dyDescent="0.2">
      <c r="A334" s="1" t="s">
        <v>111</v>
      </c>
      <c r="C334" s="1" t="s">
        <v>768</v>
      </c>
      <c r="D334" s="23"/>
      <c r="E334" s="76">
        <v>75089.259999999995</v>
      </c>
      <c r="F334" s="76"/>
      <c r="G334" s="76">
        <v>0</v>
      </c>
      <c r="H334" s="76"/>
      <c r="I334" s="76">
        <v>0</v>
      </c>
      <c r="J334" s="76"/>
      <c r="K334" s="76">
        <v>0</v>
      </c>
      <c r="L334" s="76"/>
      <c r="M334" s="76">
        <v>11758.69</v>
      </c>
      <c r="N334" s="76"/>
      <c r="O334" s="76">
        <v>0</v>
      </c>
      <c r="P334" s="76"/>
      <c r="Q334" s="76">
        <v>33824.32</v>
      </c>
      <c r="R334" s="76"/>
      <c r="S334" s="76">
        <v>0</v>
      </c>
      <c r="T334" s="76"/>
      <c r="U334" s="76">
        <v>0</v>
      </c>
      <c r="V334" s="76"/>
      <c r="W334" s="76">
        <v>0</v>
      </c>
      <c r="X334" s="76"/>
      <c r="Y334" s="76">
        <v>0</v>
      </c>
      <c r="Z334" s="76"/>
      <c r="AA334" s="76">
        <v>0</v>
      </c>
      <c r="AB334" s="76"/>
      <c r="AC334" s="76">
        <v>0</v>
      </c>
      <c r="AD334" s="76"/>
      <c r="AE334" s="76">
        <f t="shared" si="35"/>
        <v>120672.26999999999</v>
      </c>
      <c r="AF334" s="76"/>
      <c r="AG334" s="76">
        <v>-4597.18</v>
      </c>
      <c r="AH334" s="76"/>
      <c r="AI334" s="76">
        <v>73768.679999999993</v>
      </c>
      <c r="AJ334" s="76"/>
      <c r="AK334" s="76">
        <v>69171.5</v>
      </c>
      <c r="AL334" s="24">
        <f>+'Gen Rev'!AI334-'Gen Exp'!AE334+'Gen Exp'!AI334-AK334</f>
        <v>0</v>
      </c>
      <c r="AM334" s="41" t="str">
        <f>'Gen Rev'!A334</f>
        <v>Laurelville</v>
      </c>
      <c r="AN334" s="21" t="str">
        <f t="shared" si="36"/>
        <v>Laurelville</v>
      </c>
      <c r="AO334" s="21" t="b">
        <f t="shared" si="37"/>
        <v>1</v>
      </c>
    </row>
    <row r="335" spans="1:41" ht="12" customHeight="1" x14ac:dyDescent="0.2">
      <c r="A335" s="1" t="s">
        <v>926</v>
      </c>
      <c r="C335" s="1" t="s">
        <v>767</v>
      </c>
      <c r="D335" s="23"/>
      <c r="E335" s="76">
        <v>254226.08</v>
      </c>
      <c r="F335" s="76"/>
      <c r="G335" s="76">
        <v>0</v>
      </c>
      <c r="H335" s="76"/>
      <c r="I335" s="76">
        <v>1306.18</v>
      </c>
      <c r="J335" s="76"/>
      <c r="K335" s="76">
        <v>0</v>
      </c>
      <c r="L335" s="76"/>
      <c r="M335" s="76">
        <v>20122.59</v>
      </c>
      <c r="N335" s="76"/>
      <c r="O335" s="76">
        <v>14050</v>
      </c>
      <c r="P335" s="76"/>
      <c r="Q335" s="76">
        <v>158054.69</v>
      </c>
      <c r="R335" s="76"/>
      <c r="S335" s="76">
        <v>0</v>
      </c>
      <c r="T335" s="76"/>
      <c r="U335" s="76">
        <v>0</v>
      </c>
      <c r="V335" s="76"/>
      <c r="W335" s="76">
        <v>0</v>
      </c>
      <c r="X335" s="76"/>
      <c r="Y335" s="76">
        <v>0</v>
      </c>
      <c r="Z335" s="76"/>
      <c r="AA335" s="76">
        <v>0</v>
      </c>
      <c r="AB335" s="76"/>
      <c r="AC335" s="76">
        <v>29256.06</v>
      </c>
      <c r="AD335" s="76"/>
      <c r="AE335" s="76">
        <f t="shared" si="35"/>
        <v>477015.6</v>
      </c>
      <c r="AF335" s="76"/>
      <c r="AG335" s="76">
        <v>-19993.72</v>
      </c>
      <c r="AH335" s="76"/>
      <c r="AI335" s="76">
        <v>832585.71</v>
      </c>
      <c r="AJ335" s="76"/>
      <c r="AK335" s="76">
        <v>812591.99</v>
      </c>
      <c r="AL335" s="24">
        <f>+'Gen Rev'!AI335-'Gen Exp'!AE335+'Gen Exp'!AI335-AK335</f>
        <v>0</v>
      </c>
      <c r="AM335" s="41" t="str">
        <f>'Gen Rev'!A335</f>
        <v>Leesburg</v>
      </c>
      <c r="AN335" s="21" t="str">
        <f t="shared" si="36"/>
        <v>Leesburg</v>
      </c>
      <c r="AO335" s="21" t="b">
        <f t="shared" si="37"/>
        <v>1</v>
      </c>
    </row>
    <row r="336" spans="1:41" ht="12" customHeight="1" x14ac:dyDescent="0.2">
      <c r="A336" s="1" t="s">
        <v>29</v>
      </c>
      <c r="C336" s="1" t="s">
        <v>744</v>
      </c>
      <c r="D336" s="23"/>
      <c r="E336" s="76">
        <v>3700</v>
      </c>
      <c r="F336" s="76"/>
      <c r="G336" s="76">
        <v>1782.07</v>
      </c>
      <c r="H336" s="76"/>
      <c r="I336" s="76">
        <v>455.84</v>
      </c>
      <c r="J336" s="76"/>
      <c r="K336" s="76">
        <v>2456.9299999999998</v>
      </c>
      <c r="L336" s="76"/>
      <c r="M336" s="76">
        <v>0</v>
      </c>
      <c r="N336" s="76"/>
      <c r="O336" s="76">
        <v>0</v>
      </c>
      <c r="P336" s="76"/>
      <c r="Q336" s="76">
        <v>17106.259999999998</v>
      </c>
      <c r="R336" s="76"/>
      <c r="S336" s="76">
        <v>0</v>
      </c>
      <c r="T336" s="76"/>
      <c r="U336" s="76">
        <v>0</v>
      </c>
      <c r="V336" s="76"/>
      <c r="W336" s="76">
        <v>0</v>
      </c>
      <c r="X336" s="76"/>
      <c r="Y336" s="76">
        <v>0</v>
      </c>
      <c r="Z336" s="76"/>
      <c r="AA336" s="76">
        <v>0</v>
      </c>
      <c r="AB336" s="76"/>
      <c r="AC336" s="76">
        <v>0</v>
      </c>
      <c r="AD336" s="76"/>
      <c r="AE336" s="76">
        <f t="shared" si="35"/>
        <v>25501.1</v>
      </c>
      <c r="AF336" s="76"/>
      <c r="AG336" s="76">
        <v>1747.7</v>
      </c>
      <c r="AH336" s="76"/>
      <c r="AI336" s="76">
        <v>25295.78</v>
      </c>
      <c r="AJ336" s="76"/>
      <c r="AK336" s="76">
        <v>27043.48</v>
      </c>
      <c r="AL336" s="24">
        <f>+'Gen Rev'!AI336-'Gen Exp'!AE336+'Gen Exp'!AI336-AK336</f>
        <v>0</v>
      </c>
      <c r="AM336" s="41" t="str">
        <f>'Gen Rev'!A336</f>
        <v>Leesville</v>
      </c>
      <c r="AN336" s="21" t="str">
        <f t="shared" si="36"/>
        <v>Leesville</v>
      </c>
      <c r="AO336" s="21" t="b">
        <f t="shared" si="37"/>
        <v>1</v>
      </c>
    </row>
    <row r="337" spans="1:41" ht="12" customHeight="1" x14ac:dyDescent="0.2">
      <c r="A337" s="1" t="s">
        <v>43</v>
      </c>
      <c r="C337" s="1" t="s">
        <v>749</v>
      </c>
      <c r="D337" s="49"/>
      <c r="E337" s="76">
        <v>378181.98</v>
      </c>
      <c r="F337" s="76"/>
      <c r="G337" s="76">
        <v>5179.93</v>
      </c>
      <c r="H337" s="76"/>
      <c r="I337" s="76">
        <v>4197.67</v>
      </c>
      <c r="J337" s="76"/>
      <c r="K337" s="76">
        <v>14750.84</v>
      </c>
      <c r="L337" s="76"/>
      <c r="M337" s="76">
        <v>0</v>
      </c>
      <c r="N337" s="76"/>
      <c r="O337" s="76">
        <v>0</v>
      </c>
      <c r="P337" s="76"/>
      <c r="Q337" s="76">
        <v>156995.16</v>
      </c>
      <c r="R337" s="76"/>
      <c r="S337" s="76">
        <v>28323</v>
      </c>
      <c r="T337" s="76"/>
      <c r="U337" s="76">
        <v>13678</v>
      </c>
      <c r="V337" s="76"/>
      <c r="W337" s="76">
        <v>353.16</v>
      </c>
      <c r="X337" s="76"/>
      <c r="Y337" s="76">
        <v>69706.820000000007</v>
      </c>
      <c r="Z337" s="76"/>
      <c r="AA337" s="76">
        <v>8800</v>
      </c>
      <c r="AB337" s="76"/>
      <c r="AC337" s="76">
        <v>0</v>
      </c>
      <c r="AD337" s="76"/>
      <c r="AE337" s="76">
        <f t="shared" si="35"/>
        <v>680166.56</v>
      </c>
      <c r="AF337" s="76"/>
      <c r="AG337" s="76">
        <v>56360.65</v>
      </c>
      <c r="AH337" s="76"/>
      <c r="AI337" s="76">
        <v>73385.570000000007</v>
      </c>
      <c r="AJ337" s="76"/>
      <c r="AK337" s="76">
        <v>129746.22</v>
      </c>
      <c r="AL337" s="24">
        <f>+'Gen Rev'!AI337-'Gen Exp'!AE337+'Gen Exp'!AI337-AK337</f>
        <v>0</v>
      </c>
      <c r="AM337" s="41" t="str">
        <f>'Gen Rev'!A337</f>
        <v>Leetonia</v>
      </c>
      <c r="AN337" s="21" t="str">
        <f t="shared" si="36"/>
        <v>Leetonia</v>
      </c>
      <c r="AO337" s="21" t="b">
        <f t="shared" si="37"/>
        <v>1</v>
      </c>
    </row>
    <row r="338" spans="1:41" ht="12" customHeight="1" x14ac:dyDescent="0.2">
      <c r="A338" s="1" t="s">
        <v>890</v>
      </c>
      <c r="C338" s="1" t="s">
        <v>513</v>
      </c>
      <c r="E338" s="76">
        <v>340873</v>
      </c>
      <c r="F338" s="76"/>
      <c r="G338" s="76">
        <v>0</v>
      </c>
      <c r="H338" s="76"/>
      <c r="I338" s="76">
        <v>46729</v>
      </c>
      <c r="J338" s="76"/>
      <c r="K338" s="76">
        <v>0</v>
      </c>
      <c r="L338" s="76"/>
      <c r="M338" s="76">
        <v>302465</v>
      </c>
      <c r="N338" s="76"/>
      <c r="O338" s="76">
        <v>25</v>
      </c>
      <c r="P338" s="76"/>
      <c r="Q338" s="76">
        <f>3215-1</f>
        <v>3214</v>
      </c>
      <c r="R338" s="76"/>
      <c r="S338" s="76">
        <v>87353</v>
      </c>
      <c r="T338" s="76"/>
      <c r="U338" s="76">
        <v>405663</v>
      </c>
      <c r="V338" s="76"/>
      <c r="W338" s="76">
        <v>0</v>
      </c>
      <c r="X338" s="76"/>
      <c r="Y338" s="76">
        <v>2382850</v>
      </c>
      <c r="Z338" s="76"/>
      <c r="AA338" s="76">
        <v>0</v>
      </c>
      <c r="AB338" s="76"/>
      <c r="AC338" s="76">
        <v>0</v>
      </c>
      <c r="AD338" s="76"/>
      <c r="AE338" s="76">
        <f t="shared" si="35"/>
        <v>3569172</v>
      </c>
      <c r="AF338" s="76"/>
      <c r="AG338" s="76">
        <v>666966</v>
      </c>
      <c r="AH338" s="76"/>
      <c r="AI338" s="76">
        <v>-389663</v>
      </c>
      <c r="AJ338" s="76"/>
      <c r="AK338" s="76">
        <v>277304</v>
      </c>
      <c r="AL338" s="24">
        <f>+'Gen Rev'!AI338-'Gen Exp'!AE338+'Gen Exp'!AI338-AK338</f>
        <v>0</v>
      </c>
      <c r="AM338" s="41" t="str">
        <f>'Gen Rev'!A338</f>
        <v>Leipsic</v>
      </c>
      <c r="AN338" s="21" t="str">
        <f t="shared" si="36"/>
        <v>Leipsic</v>
      </c>
      <c r="AO338" s="21" t="b">
        <f t="shared" si="37"/>
        <v>1</v>
      </c>
    </row>
    <row r="339" spans="1:41" ht="12" customHeight="1" x14ac:dyDescent="0.2">
      <c r="A339" s="1" t="s">
        <v>508</v>
      </c>
      <c r="C339" s="1" t="s">
        <v>509</v>
      </c>
      <c r="E339" s="76">
        <v>700327</v>
      </c>
      <c r="F339" s="76"/>
      <c r="G339" s="76">
        <v>0</v>
      </c>
      <c r="H339" s="76"/>
      <c r="I339" s="76">
        <v>0</v>
      </c>
      <c r="J339" s="76"/>
      <c r="K339" s="76">
        <v>8025</v>
      </c>
      <c r="L339" s="76"/>
      <c r="M339" s="76">
        <v>0</v>
      </c>
      <c r="N339" s="76"/>
      <c r="O339" s="76">
        <v>14742</v>
      </c>
      <c r="P339" s="76"/>
      <c r="Q339" s="76">
        <v>275383</v>
      </c>
      <c r="R339" s="76"/>
      <c r="S339" s="76">
        <v>49454</v>
      </c>
      <c r="T339" s="76"/>
      <c r="U339" s="76">
        <v>28976</v>
      </c>
      <c r="V339" s="76"/>
      <c r="W339" s="76">
        <v>9512</v>
      </c>
      <c r="X339" s="76"/>
      <c r="Y339" s="76">
        <v>401437</v>
      </c>
      <c r="Z339" s="76"/>
      <c r="AA339" s="76">
        <v>0</v>
      </c>
      <c r="AB339" s="76"/>
      <c r="AC339" s="76">
        <v>0</v>
      </c>
      <c r="AD339" s="76"/>
      <c r="AE339" s="76">
        <f t="shared" si="35"/>
        <v>1487856</v>
      </c>
      <c r="AF339" s="76"/>
      <c r="AG339" s="76">
        <v>-55501</v>
      </c>
      <c r="AH339" s="76"/>
      <c r="AI339" s="76">
        <v>457431</v>
      </c>
      <c r="AJ339" s="76"/>
      <c r="AK339" s="76">
        <v>401930</v>
      </c>
      <c r="AL339" s="24">
        <f>+'Gen Rev'!AI339-'Gen Exp'!AE339+'Gen Exp'!AI339-AK339</f>
        <v>0</v>
      </c>
      <c r="AM339" s="41" t="str">
        <f>'Gen Rev'!A339</f>
        <v>Lewisburg</v>
      </c>
      <c r="AN339" s="21" t="str">
        <f t="shared" si="36"/>
        <v>Lewisburg</v>
      </c>
      <c r="AO339" s="21" t="b">
        <f t="shared" si="37"/>
        <v>1</v>
      </c>
    </row>
    <row r="340" spans="1:41" ht="12" customHeight="1" x14ac:dyDescent="0.2">
      <c r="A340" s="1" t="s">
        <v>165</v>
      </c>
      <c r="C340" s="1" t="s">
        <v>785</v>
      </c>
      <c r="D340" s="15"/>
      <c r="E340" s="76">
        <v>4965.1099999999997</v>
      </c>
      <c r="F340" s="76"/>
      <c r="G340" s="76">
        <v>0</v>
      </c>
      <c r="H340" s="76"/>
      <c r="I340" s="76">
        <v>0</v>
      </c>
      <c r="J340" s="76"/>
      <c r="K340" s="76">
        <v>2587.83</v>
      </c>
      <c r="L340" s="76"/>
      <c r="M340" s="76">
        <v>2602.7600000000002</v>
      </c>
      <c r="N340" s="76"/>
      <c r="O340" s="76">
        <v>0</v>
      </c>
      <c r="P340" s="76"/>
      <c r="Q340" s="76">
        <v>5289</v>
      </c>
      <c r="R340" s="76"/>
      <c r="S340" s="76">
        <v>0</v>
      </c>
      <c r="T340" s="76"/>
      <c r="U340" s="76">
        <v>0</v>
      </c>
      <c r="V340" s="76"/>
      <c r="W340" s="76">
        <v>0</v>
      </c>
      <c r="X340" s="76"/>
      <c r="Y340" s="76">
        <v>0</v>
      </c>
      <c r="Z340" s="76"/>
      <c r="AA340" s="76">
        <v>0</v>
      </c>
      <c r="AB340" s="76"/>
      <c r="AC340" s="76">
        <v>0</v>
      </c>
      <c r="AD340" s="76"/>
      <c r="AE340" s="76">
        <f t="shared" si="35"/>
        <v>15444.7</v>
      </c>
      <c r="AF340" s="76"/>
      <c r="AG340" s="76">
        <v>14216.6</v>
      </c>
      <c r="AH340" s="76"/>
      <c r="AI340" s="76">
        <v>13594.45</v>
      </c>
      <c r="AJ340" s="76"/>
      <c r="AK340" s="76">
        <v>27811.05</v>
      </c>
      <c r="AL340" s="24">
        <f>+'Gen Rev'!AI340-'Gen Exp'!AE340+'Gen Exp'!AI340-AK340</f>
        <v>0</v>
      </c>
      <c r="AM340" s="41" t="str">
        <f>'Gen Rev'!A340</f>
        <v>Lewisville</v>
      </c>
      <c r="AN340" s="21" t="str">
        <f t="shared" si="36"/>
        <v>Lewisville</v>
      </c>
      <c r="AO340" s="21" t="b">
        <f t="shared" si="37"/>
        <v>1</v>
      </c>
    </row>
    <row r="341" spans="1:41" ht="12" customHeight="1" x14ac:dyDescent="0.2">
      <c r="A341" s="1" t="s">
        <v>520</v>
      </c>
      <c r="C341" s="1" t="s">
        <v>519</v>
      </c>
      <c r="E341" s="76">
        <v>993565</v>
      </c>
      <c r="F341" s="76"/>
      <c r="G341" s="76">
        <v>0</v>
      </c>
      <c r="H341" s="76"/>
      <c r="I341" s="76">
        <v>179186</v>
      </c>
      <c r="J341" s="76"/>
      <c r="K341" s="76">
        <v>32479</v>
      </c>
      <c r="L341" s="76"/>
      <c r="M341" s="76">
        <v>0</v>
      </c>
      <c r="N341" s="76"/>
      <c r="O341" s="76">
        <v>0</v>
      </c>
      <c r="P341" s="76"/>
      <c r="Q341" s="76">
        <v>947135</v>
      </c>
      <c r="R341" s="76"/>
      <c r="S341" s="76">
        <v>0</v>
      </c>
      <c r="T341" s="76"/>
      <c r="U341" s="76">
        <v>0</v>
      </c>
      <c r="V341" s="76"/>
      <c r="W341" s="76">
        <v>0</v>
      </c>
      <c r="X341" s="76"/>
      <c r="Y341" s="76">
        <v>0</v>
      </c>
      <c r="Z341" s="76"/>
      <c r="AA341" s="76">
        <v>0</v>
      </c>
      <c r="AB341" s="76"/>
      <c r="AC341" s="76">
        <v>356875</v>
      </c>
      <c r="AD341" s="76"/>
      <c r="AE341" s="76">
        <f t="shared" si="35"/>
        <v>2509240</v>
      </c>
      <c r="AF341" s="76"/>
      <c r="AG341" s="76">
        <v>-147507</v>
      </c>
      <c r="AH341" s="76"/>
      <c r="AI341" s="76">
        <v>325204</v>
      </c>
      <c r="AJ341" s="76"/>
      <c r="AK341" s="76">
        <f>AI341+AG341</f>
        <v>177697</v>
      </c>
      <c r="AL341" s="24">
        <f>+'Gen Rev'!AI341-'Gen Exp'!AE341+'Gen Exp'!AI341-AK341</f>
        <v>0</v>
      </c>
      <c r="AM341" s="41" t="str">
        <f>'Gen Rev'!A341</f>
        <v>Lexington</v>
      </c>
      <c r="AN341" s="21" t="str">
        <f t="shared" si="36"/>
        <v>Lexington</v>
      </c>
      <c r="AO341" s="21" t="b">
        <f t="shared" si="37"/>
        <v>1</v>
      </c>
    </row>
    <row r="342" spans="1:41" ht="12" customHeight="1" x14ac:dyDescent="0.2">
      <c r="A342" s="1" t="s">
        <v>106</v>
      </c>
      <c r="C342" s="1" t="s">
        <v>766</v>
      </c>
      <c r="D342" s="23"/>
      <c r="E342" s="76">
        <v>58202.11</v>
      </c>
      <c r="F342" s="76"/>
      <c r="G342" s="76">
        <v>10623.64</v>
      </c>
      <c r="H342" s="76"/>
      <c r="I342" s="76">
        <v>22259.18</v>
      </c>
      <c r="J342" s="76"/>
      <c r="K342" s="76">
        <v>5360.29</v>
      </c>
      <c r="L342" s="76"/>
      <c r="M342" s="76">
        <v>21071.47</v>
      </c>
      <c r="N342" s="76"/>
      <c r="O342" s="76">
        <v>8432.83</v>
      </c>
      <c r="P342" s="76"/>
      <c r="Q342" s="76">
        <v>127934.25</v>
      </c>
      <c r="R342" s="76"/>
      <c r="S342" s="76">
        <v>13500</v>
      </c>
      <c r="T342" s="76"/>
      <c r="U342" s="76">
        <v>0</v>
      </c>
      <c r="V342" s="76"/>
      <c r="W342" s="76">
        <v>0</v>
      </c>
      <c r="X342" s="76"/>
      <c r="Y342" s="76">
        <v>4109.5200000000004</v>
      </c>
      <c r="Z342" s="76"/>
      <c r="AA342" s="76">
        <v>0</v>
      </c>
      <c r="AB342" s="76"/>
      <c r="AC342" s="76">
        <v>0</v>
      </c>
      <c r="AD342" s="76"/>
      <c r="AE342" s="76">
        <f t="shared" si="35"/>
        <v>271493.29000000004</v>
      </c>
      <c r="AF342" s="76"/>
      <c r="AG342" s="76">
        <v>-26458.87</v>
      </c>
      <c r="AH342" s="76"/>
      <c r="AI342" s="76">
        <v>146842.82999999999</v>
      </c>
      <c r="AJ342" s="76"/>
      <c r="AK342" s="76">
        <v>120383.96</v>
      </c>
      <c r="AL342" s="24">
        <f>+'Gen Rev'!AI342-'Gen Exp'!AE342+'Gen Exp'!AI342-AK342</f>
        <v>0</v>
      </c>
      <c r="AM342" s="41" t="str">
        <f>'Gen Rev'!A342</f>
        <v>Liberty Center</v>
      </c>
      <c r="AN342" s="21" t="str">
        <f t="shared" si="36"/>
        <v>Liberty Center</v>
      </c>
      <c r="AO342" s="21" t="b">
        <f t="shared" si="37"/>
        <v>1</v>
      </c>
    </row>
    <row r="343" spans="1:41" ht="12" hidden="1" customHeight="1" x14ac:dyDescent="0.2">
      <c r="A343" s="1" t="s">
        <v>226</v>
      </c>
      <c r="C343" s="1" t="s">
        <v>540</v>
      </c>
      <c r="D343" s="21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>
        <f t="shared" si="35"/>
        <v>0</v>
      </c>
      <c r="AF343" s="76"/>
      <c r="AG343" s="76"/>
      <c r="AH343" s="76"/>
      <c r="AI343" s="76"/>
      <c r="AJ343" s="76"/>
      <c r="AK343" s="76"/>
      <c r="AL343" s="24">
        <f>+'Gen Rev'!AI343-'Gen Exp'!AE343+'Gen Exp'!AI343-AK343</f>
        <v>0</v>
      </c>
      <c r="AM343" s="41" t="str">
        <f>'Gen Rev'!A343</f>
        <v>Limaville</v>
      </c>
      <c r="AN343" s="21" t="str">
        <f t="shared" si="36"/>
        <v>Limaville</v>
      </c>
      <c r="AO343" s="21" t="b">
        <f t="shared" si="37"/>
        <v>1</v>
      </c>
    </row>
    <row r="344" spans="1:41" s="21" customFormat="1" ht="12" customHeight="1" x14ac:dyDescent="0.2">
      <c r="A344" s="1" t="s">
        <v>383</v>
      </c>
      <c r="B344" s="1"/>
      <c r="C344" s="1" t="s">
        <v>378</v>
      </c>
      <c r="D344" s="1"/>
      <c r="E344" s="76">
        <v>729327</v>
      </c>
      <c r="F344" s="76"/>
      <c r="G344" s="76">
        <v>1583</v>
      </c>
      <c r="H344" s="76"/>
      <c r="I344" s="76">
        <v>0</v>
      </c>
      <c r="J344" s="76"/>
      <c r="K344" s="76">
        <v>23175</v>
      </c>
      <c r="L344" s="76"/>
      <c r="M344" s="76">
        <v>0</v>
      </c>
      <c r="N344" s="76"/>
      <c r="O344" s="76">
        <v>0</v>
      </c>
      <c r="P344" s="76"/>
      <c r="Q344" s="76">
        <v>827556</v>
      </c>
      <c r="R344" s="76"/>
      <c r="S344" s="76">
        <v>0</v>
      </c>
      <c r="T344" s="76"/>
      <c r="U344" s="76">
        <v>0</v>
      </c>
      <c r="V344" s="76"/>
      <c r="W344" s="76">
        <v>0</v>
      </c>
      <c r="X344" s="76"/>
      <c r="Y344" s="76">
        <v>241590</v>
      </c>
      <c r="Z344" s="76"/>
      <c r="AA344" s="76">
        <v>0</v>
      </c>
      <c r="AB344" s="76"/>
      <c r="AC344" s="76">
        <v>0</v>
      </c>
      <c r="AD344" s="76"/>
      <c r="AE344" s="76">
        <f t="shared" si="35"/>
        <v>1823231</v>
      </c>
      <c r="AF344" s="76"/>
      <c r="AG344" s="76">
        <v>-402686</v>
      </c>
      <c r="AH344" s="76"/>
      <c r="AI344" s="76">
        <v>802573</v>
      </c>
      <c r="AJ344" s="76"/>
      <c r="AK344" s="76">
        <v>399887</v>
      </c>
      <c r="AL344" s="24">
        <f>+'Gen Rev'!AI344-'Gen Exp'!AE344+'Gen Exp'!AI344-AK344</f>
        <v>0</v>
      </c>
      <c r="AM344" s="41" t="str">
        <f>'Gen Rev'!A344</f>
        <v>Lincoln Heights</v>
      </c>
      <c r="AN344" s="21" t="str">
        <f t="shared" si="36"/>
        <v>Lincoln Heights</v>
      </c>
      <c r="AO344" s="21" t="b">
        <f t="shared" si="37"/>
        <v>1</v>
      </c>
    </row>
    <row r="345" spans="1:41" s="10" customFormat="1" ht="12" customHeight="1" x14ac:dyDescent="0.2">
      <c r="A345" s="1" t="s">
        <v>215</v>
      </c>
      <c r="B345" s="1"/>
      <c r="C345" s="1" t="s">
        <v>800</v>
      </c>
      <c r="D345" s="1"/>
      <c r="E345" s="76">
        <v>17883.22</v>
      </c>
      <c r="F345" s="76"/>
      <c r="G345" s="76">
        <v>279.14</v>
      </c>
      <c r="H345" s="76"/>
      <c r="I345" s="76">
        <v>10867.68</v>
      </c>
      <c r="J345" s="76"/>
      <c r="K345" s="76">
        <v>4537.37</v>
      </c>
      <c r="L345" s="76"/>
      <c r="M345" s="76">
        <v>1968.89</v>
      </c>
      <c r="N345" s="76"/>
      <c r="O345" s="76">
        <v>2490</v>
      </c>
      <c r="P345" s="76"/>
      <c r="Q345" s="76">
        <v>42722.63</v>
      </c>
      <c r="R345" s="76"/>
      <c r="S345" s="76">
        <v>0</v>
      </c>
      <c r="T345" s="76"/>
      <c r="U345" s="76">
        <v>0</v>
      </c>
      <c r="V345" s="76"/>
      <c r="W345" s="76">
        <v>0</v>
      </c>
      <c r="X345" s="76"/>
      <c r="Y345" s="76">
        <v>0</v>
      </c>
      <c r="Z345" s="76"/>
      <c r="AA345" s="76">
        <v>0</v>
      </c>
      <c r="AB345" s="76"/>
      <c r="AC345" s="76">
        <v>0</v>
      </c>
      <c r="AD345" s="76"/>
      <c r="AE345" s="76">
        <f t="shared" si="35"/>
        <v>80748.929999999993</v>
      </c>
      <c r="AF345" s="76"/>
      <c r="AG345" s="76">
        <v>-9922.74</v>
      </c>
      <c r="AH345" s="76"/>
      <c r="AI345" s="76">
        <v>90698.69</v>
      </c>
      <c r="AJ345" s="76"/>
      <c r="AK345" s="76">
        <v>80775.95</v>
      </c>
      <c r="AL345" s="24">
        <f>+'Gen Rev'!AI345-'Gen Exp'!AE345+'Gen Exp'!AI345-AK345</f>
        <v>0</v>
      </c>
      <c r="AM345" s="41" t="str">
        <f>'Gen Rev'!A345</f>
        <v>Lindsey</v>
      </c>
      <c r="AN345" s="21" t="str">
        <f t="shared" si="36"/>
        <v>Lindsey</v>
      </c>
      <c r="AO345" s="21" t="b">
        <f t="shared" si="37"/>
        <v>1</v>
      </c>
    </row>
    <row r="346" spans="1:41" ht="12" customHeight="1" x14ac:dyDescent="0.2">
      <c r="A346" s="1" t="s">
        <v>833</v>
      </c>
      <c r="C346" s="1" t="s">
        <v>751</v>
      </c>
      <c r="D346" s="23"/>
      <c r="E346" s="76">
        <v>602688.65</v>
      </c>
      <c r="F346" s="76"/>
      <c r="G346" s="76">
        <v>0</v>
      </c>
      <c r="H346" s="76"/>
      <c r="I346" s="76">
        <v>208.08</v>
      </c>
      <c r="J346" s="76"/>
      <c r="K346" s="76">
        <v>0</v>
      </c>
      <c r="L346" s="76"/>
      <c r="M346" s="76">
        <v>6240</v>
      </c>
      <c r="N346" s="76"/>
      <c r="O346" s="76">
        <v>25418.15</v>
      </c>
      <c r="P346" s="76"/>
      <c r="Q346" s="76">
        <v>327170.37</v>
      </c>
      <c r="R346" s="76"/>
      <c r="S346" s="76">
        <v>6677.3</v>
      </c>
      <c r="T346" s="76"/>
      <c r="U346" s="76">
        <v>0</v>
      </c>
      <c r="V346" s="76"/>
      <c r="W346" s="76">
        <v>0</v>
      </c>
      <c r="X346" s="76"/>
      <c r="Y346" s="76">
        <v>0</v>
      </c>
      <c r="Z346" s="76"/>
      <c r="AA346" s="76">
        <v>55000</v>
      </c>
      <c r="AB346" s="76"/>
      <c r="AC346" s="76">
        <v>0</v>
      </c>
      <c r="AD346" s="76"/>
      <c r="AE346" s="76">
        <f t="shared" si="35"/>
        <v>1023402.55</v>
      </c>
      <c r="AF346" s="76"/>
      <c r="AG346" s="76">
        <v>9058.43</v>
      </c>
      <c r="AH346" s="76"/>
      <c r="AI346" s="76">
        <v>121175.05</v>
      </c>
      <c r="AJ346" s="76"/>
      <c r="AK346" s="76">
        <v>130233.48</v>
      </c>
      <c r="AL346" s="24">
        <f>+'Gen Rev'!AI346-'Gen Exp'!AE346+'Gen Exp'!AI346-AK346</f>
        <v>0</v>
      </c>
      <c r="AM346" s="41" t="str">
        <f>'Gen Rev'!A346</f>
        <v>Linndale</v>
      </c>
      <c r="AN346" s="21" t="str">
        <f t="shared" si="36"/>
        <v>Linndale</v>
      </c>
      <c r="AO346" s="21" t="b">
        <f t="shared" si="37"/>
        <v>1</v>
      </c>
    </row>
    <row r="347" spans="1:41" ht="12" customHeight="1" x14ac:dyDescent="0.2">
      <c r="A347" s="1" t="s">
        <v>44</v>
      </c>
      <c r="C347" s="1" t="s">
        <v>749</v>
      </c>
      <c r="D347" s="23"/>
      <c r="E347" s="76">
        <v>734502.11</v>
      </c>
      <c r="F347" s="76"/>
      <c r="G347" s="76">
        <v>0</v>
      </c>
      <c r="H347" s="76"/>
      <c r="I347" s="76">
        <v>7182.72</v>
      </c>
      <c r="J347" s="76"/>
      <c r="K347" s="76">
        <v>24450.21</v>
      </c>
      <c r="L347" s="76"/>
      <c r="M347" s="76">
        <v>0</v>
      </c>
      <c r="N347" s="76"/>
      <c r="O347" s="76">
        <v>1333.08</v>
      </c>
      <c r="P347" s="76"/>
      <c r="Q347" s="76">
        <v>281184.77</v>
      </c>
      <c r="R347" s="76"/>
      <c r="S347" s="76">
        <v>0</v>
      </c>
      <c r="T347" s="76"/>
      <c r="U347" s="76">
        <v>46769.74</v>
      </c>
      <c r="V347" s="76"/>
      <c r="W347" s="76">
        <v>45027.02</v>
      </c>
      <c r="X347" s="76"/>
      <c r="Y347" s="76">
        <v>260185.22</v>
      </c>
      <c r="Z347" s="76"/>
      <c r="AA347" s="76">
        <v>0</v>
      </c>
      <c r="AB347" s="76"/>
      <c r="AC347" s="76">
        <v>0</v>
      </c>
      <c r="AD347" s="76"/>
      <c r="AE347" s="76">
        <f t="shared" si="35"/>
        <v>1400634.8699999999</v>
      </c>
      <c r="AF347" s="76"/>
      <c r="AG347" s="76">
        <v>16008.77</v>
      </c>
      <c r="AH347" s="76"/>
      <c r="AI347" s="76">
        <v>56235.13</v>
      </c>
      <c r="AJ347" s="76"/>
      <c r="AK347" s="76">
        <v>72243.899999999994</v>
      </c>
      <c r="AL347" s="24">
        <f>+'Gen Rev'!AI347-'Gen Exp'!AE347+'Gen Exp'!AI347-AK347</f>
        <v>2.6193447411060333E-10</v>
      </c>
      <c r="AM347" s="41" t="str">
        <f>'Gen Rev'!A347</f>
        <v>Lisbon</v>
      </c>
      <c r="AN347" s="21" t="str">
        <f t="shared" si="36"/>
        <v>Lisbon</v>
      </c>
      <c r="AO347" s="21" t="b">
        <f t="shared" si="37"/>
        <v>1</v>
      </c>
    </row>
    <row r="348" spans="1:41" s="21" customFormat="1" ht="12" customHeight="1" x14ac:dyDescent="0.2">
      <c r="A348" s="1" t="s">
        <v>912</v>
      </c>
      <c r="B348" s="1"/>
      <c r="C348" s="1" t="s">
        <v>350</v>
      </c>
      <c r="D348" s="23"/>
      <c r="E348" s="76">
        <v>182678.49</v>
      </c>
      <c r="F348" s="76"/>
      <c r="G348" s="76">
        <v>268.5</v>
      </c>
      <c r="H348" s="76"/>
      <c r="I348" s="76">
        <v>0</v>
      </c>
      <c r="J348" s="76"/>
      <c r="K348" s="76">
        <v>21776.2</v>
      </c>
      <c r="L348" s="76"/>
      <c r="M348" s="76">
        <v>0</v>
      </c>
      <c r="N348" s="76"/>
      <c r="O348" s="76">
        <v>0</v>
      </c>
      <c r="P348" s="76"/>
      <c r="Q348" s="76">
        <v>267785.90999999997</v>
      </c>
      <c r="R348" s="76"/>
      <c r="S348" s="76">
        <v>0</v>
      </c>
      <c r="T348" s="76"/>
      <c r="U348" s="76">
        <v>0</v>
      </c>
      <c r="V348" s="76"/>
      <c r="W348" s="76">
        <v>0</v>
      </c>
      <c r="X348" s="76"/>
      <c r="Y348" s="76">
        <v>0</v>
      </c>
      <c r="Z348" s="76"/>
      <c r="AA348" s="76">
        <v>35000</v>
      </c>
      <c r="AB348" s="76"/>
      <c r="AC348" s="76">
        <v>0</v>
      </c>
      <c r="AD348" s="76"/>
      <c r="AE348" s="76">
        <f t="shared" si="35"/>
        <v>507509.1</v>
      </c>
      <c r="AF348" s="76"/>
      <c r="AG348" s="76">
        <v>37166.660000000003</v>
      </c>
      <c r="AH348" s="76"/>
      <c r="AI348" s="76">
        <v>4096.08</v>
      </c>
      <c r="AJ348" s="76"/>
      <c r="AK348" s="76">
        <v>41262.74</v>
      </c>
      <c r="AL348" s="24">
        <f>+'Gen Rev'!AI348-'Gen Exp'!AE348+'Gen Exp'!AI348-AK348</f>
        <v>0</v>
      </c>
      <c r="AM348" s="41" t="str">
        <f>'Gen Rev'!A348</f>
        <v>Lithopolis</v>
      </c>
      <c r="AN348" s="21" t="str">
        <f t="shared" si="36"/>
        <v>Lithopolis</v>
      </c>
      <c r="AO348" s="21" t="b">
        <f t="shared" si="37"/>
        <v>1</v>
      </c>
    </row>
    <row r="349" spans="1:41" ht="12" customHeight="1" x14ac:dyDescent="0.2">
      <c r="A349" s="1" t="s">
        <v>927</v>
      </c>
      <c r="C349" s="1" t="s">
        <v>758</v>
      </c>
      <c r="E349" s="76">
        <v>1691</v>
      </c>
      <c r="F349" s="76"/>
      <c r="G349" s="76">
        <v>0</v>
      </c>
      <c r="H349" s="76"/>
      <c r="I349" s="76">
        <v>16916.47</v>
      </c>
      <c r="J349" s="76"/>
      <c r="K349" s="76">
        <v>393.83</v>
      </c>
      <c r="L349" s="76"/>
      <c r="M349" s="76">
        <v>20180.400000000001</v>
      </c>
      <c r="N349" s="76"/>
      <c r="O349" s="76">
        <v>0</v>
      </c>
      <c r="P349" s="76"/>
      <c r="Q349" s="76">
        <v>106663.94</v>
      </c>
      <c r="R349" s="76"/>
      <c r="S349" s="76">
        <v>0</v>
      </c>
      <c r="T349" s="76"/>
      <c r="U349" s="76">
        <v>0</v>
      </c>
      <c r="V349" s="76"/>
      <c r="W349" s="76">
        <v>0</v>
      </c>
      <c r="X349" s="76"/>
      <c r="Y349" s="76">
        <v>0</v>
      </c>
      <c r="Z349" s="76"/>
      <c r="AA349" s="76">
        <v>0</v>
      </c>
      <c r="AB349" s="76"/>
      <c r="AC349" s="76">
        <v>0</v>
      </c>
      <c r="AD349" s="76"/>
      <c r="AE349" s="76">
        <f t="shared" si="35"/>
        <v>145845.64000000001</v>
      </c>
      <c r="AF349" s="76"/>
      <c r="AG349" s="76">
        <v>-40509.4</v>
      </c>
      <c r="AH349" s="76"/>
      <c r="AI349" s="76">
        <v>344530.5</v>
      </c>
      <c r="AJ349" s="76"/>
      <c r="AK349" s="76">
        <v>304021.09999999998</v>
      </c>
      <c r="AL349" s="24">
        <f>+'Gen Rev'!AI349-'Gen Exp'!AE349+'Gen Exp'!AI349-AK349</f>
        <v>0</v>
      </c>
      <c r="AM349" s="41" t="str">
        <f>'Gen Rev'!A349</f>
        <v>Lockbourne</v>
      </c>
      <c r="AN349" s="21" t="str">
        <f t="shared" si="36"/>
        <v>Lockbourne</v>
      </c>
      <c r="AO349" s="21" t="b">
        <f t="shared" si="37"/>
        <v>1</v>
      </c>
    </row>
    <row r="350" spans="1:41" ht="12" customHeight="1" x14ac:dyDescent="0.2">
      <c r="A350" s="1" t="s">
        <v>537</v>
      </c>
      <c r="C350" s="1" t="s">
        <v>536</v>
      </c>
      <c r="E350" s="76">
        <v>4590</v>
      </c>
      <c r="F350" s="76"/>
      <c r="G350" s="76">
        <v>113</v>
      </c>
      <c r="H350" s="76"/>
      <c r="I350" s="76">
        <v>0</v>
      </c>
      <c r="J350" s="76"/>
      <c r="K350" s="76">
        <v>0</v>
      </c>
      <c r="L350" s="76"/>
      <c r="M350" s="76">
        <v>415</v>
      </c>
      <c r="N350" s="76"/>
      <c r="O350" s="76">
        <v>0</v>
      </c>
      <c r="P350" s="76"/>
      <c r="Q350" s="76">
        <v>13006</v>
      </c>
      <c r="R350" s="76"/>
      <c r="S350" s="76">
        <v>0</v>
      </c>
      <c r="T350" s="76"/>
      <c r="U350" s="76">
        <v>1886</v>
      </c>
      <c r="V350" s="76"/>
      <c r="W350" s="76">
        <v>0</v>
      </c>
      <c r="X350" s="76"/>
      <c r="Y350" s="76">
        <v>1886</v>
      </c>
      <c r="Z350" s="76"/>
      <c r="AA350" s="76">
        <v>0</v>
      </c>
      <c r="AB350" s="76"/>
      <c r="AC350" s="76">
        <v>0</v>
      </c>
      <c r="AD350" s="76"/>
      <c r="AE350" s="76">
        <f t="shared" si="35"/>
        <v>21896</v>
      </c>
      <c r="AF350" s="76"/>
      <c r="AG350" s="76">
        <f>13808-20010-1886</f>
        <v>-8088</v>
      </c>
      <c r="AH350" s="76"/>
      <c r="AI350" s="76">
        <f>AK350-AG350</f>
        <v>8802</v>
      </c>
      <c r="AJ350" s="76"/>
      <c r="AK350" s="76">
        <v>714</v>
      </c>
      <c r="AL350" s="24">
        <f>+'Gen Rev'!AI350-'Gen Exp'!AE350+'Gen Exp'!AI350-AK350</f>
        <v>0</v>
      </c>
      <c r="AM350" s="41" t="str">
        <f>'Gen Rev'!A350</f>
        <v xml:space="preserve">Lockington </v>
      </c>
      <c r="AN350" s="21" t="str">
        <f t="shared" si="36"/>
        <v xml:space="preserve">Lockington </v>
      </c>
      <c r="AO350" s="21" t="b">
        <f t="shared" si="37"/>
        <v>1</v>
      </c>
    </row>
    <row r="351" spans="1:41" ht="12" customHeight="1" x14ac:dyDescent="0.2">
      <c r="A351" s="1" t="s">
        <v>95</v>
      </c>
      <c r="C351" s="1" t="s">
        <v>763</v>
      </c>
      <c r="D351" s="23"/>
      <c r="E351" s="76">
        <v>1781061.93</v>
      </c>
      <c r="F351" s="76"/>
      <c r="G351" s="76">
        <v>29099.22</v>
      </c>
      <c r="H351" s="76"/>
      <c r="I351" s="76">
        <v>40628.29</v>
      </c>
      <c r="J351" s="76"/>
      <c r="K351" s="76">
        <v>47037.98</v>
      </c>
      <c r="L351" s="76"/>
      <c r="M351" s="76">
        <v>1585077.23</v>
      </c>
      <c r="N351" s="76"/>
      <c r="O351" s="76">
        <v>0</v>
      </c>
      <c r="P351" s="76"/>
      <c r="Q351" s="76">
        <v>629937.11</v>
      </c>
      <c r="R351" s="76"/>
      <c r="S351" s="76">
        <v>0</v>
      </c>
      <c r="T351" s="76"/>
      <c r="U351" s="76">
        <v>0</v>
      </c>
      <c r="V351" s="76"/>
      <c r="W351" s="76">
        <v>0</v>
      </c>
      <c r="X351" s="76"/>
      <c r="Y351" s="76">
        <v>394343.03</v>
      </c>
      <c r="Z351" s="76"/>
      <c r="AA351" s="76">
        <v>48865.39</v>
      </c>
      <c r="AB351" s="76"/>
      <c r="AC351" s="76">
        <v>64313.919999999998</v>
      </c>
      <c r="AD351" s="76"/>
      <c r="AE351" s="76">
        <f t="shared" si="35"/>
        <v>4620364.0999999996</v>
      </c>
      <c r="AF351" s="76"/>
      <c r="AG351" s="76">
        <v>100158.18</v>
      </c>
      <c r="AH351" s="76"/>
      <c r="AI351" s="76">
        <v>552780.24</v>
      </c>
      <c r="AJ351" s="76"/>
      <c r="AK351" s="76">
        <v>652938.42000000004</v>
      </c>
      <c r="AL351" s="24">
        <f>+'Gen Rev'!AI351-'Gen Exp'!AE351+'Gen Exp'!AI351-AK351</f>
        <v>-1.280568540096283E-9</v>
      </c>
      <c r="AM351" s="41" t="str">
        <f>'Gen Rev'!A351</f>
        <v>Lockland</v>
      </c>
      <c r="AN351" s="21" t="str">
        <f t="shared" si="36"/>
        <v>Lockland</v>
      </c>
      <c r="AO351" s="21" t="b">
        <f t="shared" si="37"/>
        <v>1</v>
      </c>
    </row>
    <row r="352" spans="1:41" ht="12" customHeight="1" x14ac:dyDescent="0.2">
      <c r="A352" s="1" t="s">
        <v>948</v>
      </c>
      <c r="C352" s="1" t="s">
        <v>949</v>
      </c>
      <c r="D352" s="23"/>
      <c r="E352" s="76">
        <v>659541</v>
      </c>
      <c r="F352" s="76"/>
      <c r="G352" s="76">
        <v>0</v>
      </c>
      <c r="H352" s="76"/>
      <c r="I352" s="76">
        <v>11001</v>
      </c>
      <c r="J352" s="76"/>
      <c r="K352" s="76">
        <v>8389</v>
      </c>
      <c r="L352" s="76"/>
      <c r="M352" s="76">
        <v>0</v>
      </c>
      <c r="N352" s="76"/>
      <c r="O352" s="76">
        <v>12301</v>
      </c>
      <c r="P352" s="76"/>
      <c r="Q352" s="76">
        <v>229924</v>
      </c>
      <c r="R352" s="76"/>
      <c r="S352" s="76">
        <v>10670</v>
      </c>
      <c r="T352" s="76"/>
      <c r="U352" s="76">
        <v>0</v>
      </c>
      <c r="V352" s="76"/>
      <c r="W352" s="76">
        <v>0</v>
      </c>
      <c r="X352" s="76"/>
      <c r="Y352" s="76">
        <v>0</v>
      </c>
      <c r="Z352" s="76"/>
      <c r="AA352" s="76">
        <v>0</v>
      </c>
      <c r="AB352" s="76"/>
      <c r="AC352" s="76">
        <v>0</v>
      </c>
      <c r="AD352" s="76"/>
      <c r="AE352" s="76">
        <f t="shared" si="35"/>
        <v>931826</v>
      </c>
      <c r="AF352" s="76"/>
      <c r="AG352" s="76">
        <v>12511</v>
      </c>
      <c r="AH352" s="76"/>
      <c r="AI352" s="76">
        <v>235516</v>
      </c>
      <c r="AJ352" s="76"/>
      <c r="AK352" s="76">
        <v>248027</v>
      </c>
      <c r="AL352" s="24">
        <f>+'Gen Rev'!AI352-'Gen Exp'!AE352+'Gen Exp'!AI352-AK352</f>
        <v>0</v>
      </c>
      <c r="AM352" s="41" t="str">
        <f>'Gen Rev'!A352</f>
        <v>Lodi</v>
      </c>
      <c r="AN352" s="21" t="str">
        <f t="shared" si="36"/>
        <v>Lodi</v>
      </c>
      <c r="AO352" s="21" t="b">
        <f t="shared" si="37"/>
        <v>1</v>
      </c>
    </row>
    <row r="353" spans="1:41" ht="12" customHeight="1" x14ac:dyDescent="0.2">
      <c r="A353" s="15" t="s">
        <v>555</v>
      </c>
      <c r="B353" s="15"/>
      <c r="C353" s="15" t="s">
        <v>557</v>
      </c>
      <c r="D353" s="15"/>
      <c r="E353" s="76">
        <v>1443491</v>
      </c>
      <c r="F353" s="76"/>
      <c r="G353" s="76">
        <v>20916</v>
      </c>
      <c r="H353" s="76"/>
      <c r="I353" s="76">
        <v>183630</v>
      </c>
      <c r="J353" s="76"/>
      <c r="K353" s="76">
        <v>159281</v>
      </c>
      <c r="L353" s="76"/>
      <c r="M353" s="76">
        <v>0</v>
      </c>
      <c r="N353" s="76"/>
      <c r="O353" s="76">
        <v>0</v>
      </c>
      <c r="P353" s="76"/>
      <c r="Q353" s="76">
        <v>895802</v>
      </c>
      <c r="R353" s="76"/>
      <c r="S353" s="76">
        <v>0</v>
      </c>
      <c r="T353" s="76"/>
      <c r="U353" s="76">
        <v>0</v>
      </c>
      <c r="V353" s="76"/>
      <c r="W353" s="76">
        <v>0</v>
      </c>
      <c r="X353" s="76"/>
      <c r="Y353" s="76">
        <v>200641</v>
      </c>
      <c r="Z353" s="76"/>
      <c r="AA353" s="76">
        <v>0</v>
      </c>
      <c r="AB353" s="76"/>
      <c r="AC353" s="76">
        <v>0</v>
      </c>
      <c r="AD353" s="76"/>
      <c r="AE353" s="76">
        <f t="shared" si="35"/>
        <v>2903761</v>
      </c>
      <c r="AF353" s="76"/>
      <c r="AG353" s="76">
        <v>1745154</v>
      </c>
      <c r="AH353" s="76"/>
      <c r="AI353" s="76">
        <v>2091412</v>
      </c>
      <c r="AJ353" s="76"/>
      <c r="AK353" s="76">
        <v>3836566</v>
      </c>
      <c r="AL353" s="24">
        <f>+'Gen Rev'!AI353-'Gen Exp'!AE353+'Gen Exp'!AI353-AK353</f>
        <v>0</v>
      </c>
      <c r="AM353" s="41" t="str">
        <f>'Gen Rev'!A353</f>
        <v>Lordstown</v>
      </c>
      <c r="AN353" s="21" t="str">
        <f t="shared" si="36"/>
        <v>Lordstown</v>
      </c>
      <c r="AO353" s="21" t="b">
        <f t="shared" si="37"/>
        <v>1</v>
      </c>
    </row>
    <row r="354" spans="1:41" s="21" customFormat="1" ht="12" customHeight="1" x14ac:dyDescent="0.2">
      <c r="A354" s="1" t="s">
        <v>88</v>
      </c>
      <c r="B354" s="1"/>
      <c r="C354" s="1" t="s">
        <v>762</v>
      </c>
      <c r="D354" s="1"/>
      <c r="E354" s="76">
        <v>3693.14</v>
      </c>
      <c r="F354" s="76"/>
      <c r="G354" s="76">
        <v>11.79</v>
      </c>
      <c r="H354" s="76"/>
      <c r="I354" s="76">
        <v>0</v>
      </c>
      <c r="J354" s="76"/>
      <c r="K354" s="76">
        <v>0</v>
      </c>
      <c r="L354" s="76"/>
      <c r="M354" s="76">
        <v>0</v>
      </c>
      <c r="N354" s="76"/>
      <c r="O354" s="76">
        <v>0</v>
      </c>
      <c r="P354" s="76"/>
      <c r="Q354" s="76">
        <v>45694.07</v>
      </c>
      <c r="R354" s="76"/>
      <c r="S354" s="76">
        <v>1484.5</v>
      </c>
      <c r="T354" s="76"/>
      <c r="U354" s="76">
        <v>3654.54</v>
      </c>
      <c r="V354" s="76"/>
      <c r="W354" s="76">
        <v>483.54</v>
      </c>
      <c r="X354" s="76"/>
      <c r="Y354" s="76">
        <v>0</v>
      </c>
      <c r="Z354" s="76"/>
      <c r="AA354" s="76">
        <v>0</v>
      </c>
      <c r="AB354" s="76"/>
      <c r="AC354" s="76">
        <v>0</v>
      </c>
      <c r="AD354" s="76"/>
      <c r="AE354" s="76">
        <f t="shared" si="35"/>
        <v>55021.58</v>
      </c>
      <c r="AF354" s="76"/>
      <c r="AG354" s="76">
        <v>49784.28</v>
      </c>
      <c r="AH354" s="76"/>
      <c r="AI354" s="76">
        <v>21094.55</v>
      </c>
      <c r="AJ354" s="76"/>
      <c r="AK354" s="76">
        <v>70878.83</v>
      </c>
      <c r="AL354" s="24">
        <f>+'Gen Rev'!AI354-'Gen Exp'!AE354+'Gen Exp'!AI354-AK354</f>
        <v>0</v>
      </c>
      <c r="AM354" s="41" t="str">
        <f>'Gen Rev'!A354</f>
        <v>Lore City</v>
      </c>
      <c r="AN354" s="21" t="str">
        <f t="shared" si="36"/>
        <v>Lore City</v>
      </c>
      <c r="AO354" s="21" t="b">
        <f t="shared" si="37"/>
        <v>1</v>
      </c>
    </row>
    <row r="355" spans="1:41" s="21" customFormat="1" ht="12" customHeight="1" x14ac:dyDescent="0.2">
      <c r="A355" s="1" t="s">
        <v>907</v>
      </c>
      <c r="B355" s="1"/>
      <c r="C355" s="1" t="s">
        <v>666</v>
      </c>
      <c r="D355" s="1"/>
      <c r="E355" s="76">
        <v>69004.77</v>
      </c>
      <c r="F355" s="76"/>
      <c r="G355" s="76">
        <v>5299.98</v>
      </c>
      <c r="H355" s="76"/>
      <c r="I355" s="76">
        <v>39223.910000000003</v>
      </c>
      <c r="J355" s="76"/>
      <c r="K355" s="76">
        <v>4304.2</v>
      </c>
      <c r="L355" s="76"/>
      <c r="M355" s="76">
        <v>0</v>
      </c>
      <c r="N355" s="76"/>
      <c r="O355" s="76">
        <v>242.72</v>
      </c>
      <c r="P355" s="76"/>
      <c r="Q355" s="76">
        <v>592862.81000000006</v>
      </c>
      <c r="R355" s="76"/>
      <c r="S355" s="76">
        <v>4240</v>
      </c>
      <c r="T355" s="76"/>
      <c r="U355" s="76">
        <v>3558.3</v>
      </c>
      <c r="V355" s="76"/>
      <c r="W355" s="76">
        <v>582.22</v>
      </c>
      <c r="X355" s="76"/>
      <c r="Y355" s="76">
        <v>40000</v>
      </c>
      <c r="Z355" s="76"/>
      <c r="AA355" s="76">
        <v>0</v>
      </c>
      <c r="AB355" s="76"/>
      <c r="AC355" s="76">
        <v>0</v>
      </c>
      <c r="AD355" s="76"/>
      <c r="AE355" s="76">
        <f t="shared" si="35"/>
        <v>759318.91</v>
      </c>
      <c r="AF355" s="76"/>
      <c r="AG355" s="76">
        <v>86396.58</v>
      </c>
      <c r="AH355" s="76"/>
      <c r="AI355" s="76">
        <v>16449.16</v>
      </c>
      <c r="AJ355" s="76"/>
      <c r="AK355" s="76">
        <v>102845.74</v>
      </c>
      <c r="AL355" s="24">
        <f>+'Gen Rev'!AI355-'Gen Exp'!AE355+'Gen Exp'!AI355-AK355</f>
        <v>0</v>
      </c>
      <c r="AM355" s="41" t="str">
        <f>'Gen Rev'!A355</f>
        <v>Loudonville</v>
      </c>
      <c r="AN355" s="21" t="str">
        <f t="shared" si="36"/>
        <v>Loudonville</v>
      </c>
      <c r="AO355" s="21" t="b">
        <f t="shared" si="37"/>
        <v>1</v>
      </c>
    </row>
    <row r="356" spans="1:41" s="15" customFormat="1" ht="12" customHeight="1" x14ac:dyDescent="0.2">
      <c r="A356" s="1" t="s">
        <v>245</v>
      </c>
      <c r="B356" s="1"/>
      <c r="C356" s="1" t="s">
        <v>810</v>
      </c>
      <c r="D356" s="23"/>
      <c r="E356" s="76">
        <v>14044.01</v>
      </c>
      <c r="F356" s="76"/>
      <c r="G356" s="76">
        <v>1766.46</v>
      </c>
      <c r="H356" s="76"/>
      <c r="I356" s="76">
        <v>4319.5</v>
      </c>
      <c r="J356" s="76"/>
      <c r="K356" s="76">
        <v>0</v>
      </c>
      <c r="L356" s="76"/>
      <c r="M356" s="76">
        <v>0</v>
      </c>
      <c r="N356" s="76"/>
      <c r="O356" s="76">
        <v>0</v>
      </c>
      <c r="P356" s="76"/>
      <c r="Q356" s="76">
        <v>35139.74</v>
      </c>
      <c r="R356" s="76"/>
      <c r="S356" s="76">
        <v>0</v>
      </c>
      <c r="T356" s="76"/>
      <c r="U356" s="76">
        <v>0</v>
      </c>
      <c r="V356" s="76"/>
      <c r="W356" s="76">
        <v>0</v>
      </c>
      <c r="X356" s="76"/>
      <c r="Y356" s="76">
        <v>0</v>
      </c>
      <c r="Z356" s="76"/>
      <c r="AA356" s="76">
        <v>0</v>
      </c>
      <c r="AB356" s="76"/>
      <c r="AC356" s="76">
        <v>150</v>
      </c>
      <c r="AD356" s="76"/>
      <c r="AE356" s="76">
        <f t="shared" si="35"/>
        <v>55419.71</v>
      </c>
      <c r="AF356" s="76"/>
      <c r="AG356" s="76">
        <v>11607.46</v>
      </c>
      <c r="AH356" s="76"/>
      <c r="AI356" s="76">
        <v>13391.64</v>
      </c>
      <c r="AJ356" s="76"/>
      <c r="AK356" s="76">
        <v>24999.1</v>
      </c>
      <c r="AL356" s="24">
        <f>+'Gen Rev'!AI356-'Gen Exp'!AE356+'Gen Exp'!AI356-AK356</f>
        <v>0</v>
      </c>
      <c r="AM356" s="41" t="str">
        <f>'Gen Rev'!A356</f>
        <v>Lowell</v>
      </c>
      <c r="AN356" s="21" t="str">
        <f t="shared" si="36"/>
        <v>Lowell</v>
      </c>
      <c r="AO356" s="21" t="b">
        <f t="shared" si="37"/>
        <v>1</v>
      </c>
    </row>
    <row r="357" spans="1:41" s="21" customFormat="1" ht="12" customHeight="1" x14ac:dyDescent="0.2">
      <c r="A357" s="1" t="s">
        <v>840</v>
      </c>
      <c r="B357" s="1"/>
      <c r="C357" s="1" t="s">
        <v>779</v>
      </c>
      <c r="D357" s="23"/>
      <c r="E357" s="76">
        <v>336188.87</v>
      </c>
      <c r="F357" s="76"/>
      <c r="G357" s="76">
        <v>4753.29</v>
      </c>
      <c r="H357" s="76"/>
      <c r="I357" s="76">
        <v>0</v>
      </c>
      <c r="J357" s="76"/>
      <c r="K357" s="76">
        <v>3942.34</v>
      </c>
      <c r="L357" s="76"/>
      <c r="M357" s="76">
        <v>0</v>
      </c>
      <c r="N357" s="76"/>
      <c r="O357" s="76">
        <v>46452.86</v>
      </c>
      <c r="P357" s="76"/>
      <c r="Q357" s="76">
        <v>201870.75</v>
      </c>
      <c r="R357" s="76"/>
      <c r="S357" s="76">
        <v>0</v>
      </c>
      <c r="T357" s="76"/>
      <c r="U357" s="76">
        <v>0</v>
      </c>
      <c r="V357" s="76"/>
      <c r="W357" s="76">
        <v>0</v>
      </c>
      <c r="X357" s="76"/>
      <c r="Y357" s="76">
        <v>65986.8</v>
      </c>
      <c r="Z357" s="76"/>
      <c r="AA357" s="76">
        <v>0</v>
      </c>
      <c r="AB357" s="76"/>
      <c r="AC357" s="76">
        <v>7602.4</v>
      </c>
      <c r="AD357" s="76"/>
      <c r="AE357" s="76">
        <f t="shared" si="35"/>
        <v>666797.31000000006</v>
      </c>
      <c r="AF357" s="76"/>
      <c r="AG357" s="76">
        <v>81133.84</v>
      </c>
      <c r="AH357" s="76"/>
      <c r="AI357" s="76">
        <v>92595.04</v>
      </c>
      <c r="AJ357" s="76"/>
      <c r="AK357" s="76">
        <v>173728.88</v>
      </c>
      <c r="AL357" s="24">
        <f>+'Gen Rev'!AI357-'Gen Exp'!AE357+'Gen Exp'!AI357-AK357</f>
        <v>0</v>
      </c>
      <c r="AM357" s="41" t="str">
        <f>'Gen Rev'!A357</f>
        <v>Lowellville</v>
      </c>
      <c r="AN357" s="21" t="str">
        <f t="shared" si="36"/>
        <v>Lowellville</v>
      </c>
      <c r="AO357" s="21" t="b">
        <f t="shared" si="37"/>
        <v>1</v>
      </c>
    </row>
    <row r="358" spans="1:41" s="21" customFormat="1" ht="12" customHeight="1" x14ac:dyDescent="0.2">
      <c r="A358" s="1" t="s">
        <v>246</v>
      </c>
      <c r="B358" s="1"/>
      <c r="C358" s="1" t="s">
        <v>810</v>
      </c>
      <c r="D358" s="23"/>
      <c r="E358" s="76">
        <v>3732.1</v>
      </c>
      <c r="F358" s="76"/>
      <c r="G358" s="76">
        <v>210.62</v>
      </c>
      <c r="H358" s="76"/>
      <c r="I358" s="76">
        <v>4400.6899999999996</v>
      </c>
      <c r="J358" s="76"/>
      <c r="K358" s="76">
        <v>0</v>
      </c>
      <c r="L358" s="76"/>
      <c r="M358" s="76">
        <v>0</v>
      </c>
      <c r="N358" s="76"/>
      <c r="O358" s="76">
        <v>14765.78</v>
      </c>
      <c r="P358" s="76"/>
      <c r="Q358" s="76">
        <v>20092.96</v>
      </c>
      <c r="R358" s="76"/>
      <c r="S358" s="76">
        <v>0</v>
      </c>
      <c r="T358" s="76"/>
      <c r="U358" s="76">
        <v>0</v>
      </c>
      <c r="V358" s="76"/>
      <c r="W358" s="76">
        <v>0</v>
      </c>
      <c r="X358" s="76"/>
      <c r="Y358" s="76">
        <v>0</v>
      </c>
      <c r="Z358" s="76"/>
      <c r="AA358" s="76">
        <v>0</v>
      </c>
      <c r="AB358" s="76"/>
      <c r="AC358" s="76">
        <v>0</v>
      </c>
      <c r="AD358" s="76"/>
      <c r="AE358" s="76">
        <f t="shared" si="35"/>
        <v>43202.15</v>
      </c>
      <c r="AF358" s="76"/>
      <c r="AG358" s="76">
        <v>-22468.35</v>
      </c>
      <c r="AH358" s="76"/>
      <c r="AI358" s="76">
        <v>35020.449999999997</v>
      </c>
      <c r="AJ358" s="76"/>
      <c r="AK358" s="76">
        <v>12552.1</v>
      </c>
      <c r="AL358" s="24">
        <f>+'Gen Rev'!AI358-'Gen Exp'!AE358+'Gen Exp'!AI358-AK358</f>
        <v>0</v>
      </c>
      <c r="AM358" s="41" t="str">
        <f>'Gen Rev'!A358</f>
        <v>Lower Salem</v>
      </c>
      <c r="AN358" s="21" t="str">
        <f t="shared" si="36"/>
        <v>Lower Salem</v>
      </c>
      <c r="AO358" s="21" t="b">
        <f t="shared" si="37"/>
        <v>1</v>
      </c>
    </row>
    <row r="359" spans="1:41" ht="12" customHeight="1" x14ac:dyDescent="0.2">
      <c r="A359" s="1" t="s">
        <v>455</v>
      </c>
      <c r="C359" s="1" t="s">
        <v>519</v>
      </c>
      <c r="E359" s="76">
        <v>13537</v>
      </c>
      <c r="F359" s="76"/>
      <c r="G359" s="76">
        <v>2159</v>
      </c>
      <c r="H359" s="76"/>
      <c r="I359" s="76">
        <v>0</v>
      </c>
      <c r="J359" s="76"/>
      <c r="K359" s="76">
        <v>1898</v>
      </c>
      <c r="L359" s="76"/>
      <c r="M359" s="76">
        <v>0</v>
      </c>
      <c r="N359" s="76"/>
      <c r="O359" s="76">
        <v>659</v>
      </c>
      <c r="P359" s="76"/>
      <c r="Q359" s="76">
        <f>31740-1</f>
        <v>31739</v>
      </c>
      <c r="R359" s="76"/>
      <c r="S359" s="76">
        <v>1244</v>
      </c>
      <c r="T359" s="76"/>
      <c r="U359" s="76">
        <v>0</v>
      </c>
      <c r="V359" s="76"/>
      <c r="W359" s="76">
        <v>0</v>
      </c>
      <c r="X359" s="76"/>
      <c r="Y359" s="76">
        <v>20000</v>
      </c>
      <c r="Z359" s="76"/>
      <c r="AA359" s="76">
        <v>0</v>
      </c>
      <c r="AB359" s="76"/>
      <c r="AC359" s="76">
        <v>0</v>
      </c>
      <c r="AD359" s="76"/>
      <c r="AE359" s="76">
        <f t="shared" si="35"/>
        <v>71236</v>
      </c>
      <c r="AF359" s="76"/>
      <c r="AG359" s="76">
        <v>-14718</v>
      </c>
      <c r="AH359" s="76"/>
      <c r="AI359" s="76">
        <v>86192</v>
      </c>
      <c r="AJ359" s="76"/>
      <c r="AK359" s="76">
        <v>71474</v>
      </c>
      <c r="AL359" s="24">
        <f>+'Gen Rev'!AI359-'Gen Exp'!AE359+'Gen Exp'!AI359-AK359</f>
        <v>0</v>
      </c>
      <c r="AM359" s="41" t="str">
        <f>'Gen Rev'!A359</f>
        <v>Lucas</v>
      </c>
      <c r="AN359" s="21" t="str">
        <f t="shared" si="36"/>
        <v>Lucas</v>
      </c>
      <c r="AO359" s="21" t="b">
        <f t="shared" si="37"/>
        <v>1</v>
      </c>
    </row>
    <row r="360" spans="1:41" ht="12" customHeight="1" x14ac:dyDescent="0.2">
      <c r="A360" s="1" t="s">
        <v>604</v>
      </c>
      <c r="C360" s="1" t="s">
        <v>601</v>
      </c>
      <c r="E360" s="76">
        <v>72521.64</v>
      </c>
      <c r="F360" s="76"/>
      <c r="G360" s="76">
        <v>0</v>
      </c>
      <c r="H360" s="76"/>
      <c r="I360" s="76">
        <v>7658.73</v>
      </c>
      <c r="J360" s="76"/>
      <c r="K360" s="76">
        <v>59100.84</v>
      </c>
      <c r="L360" s="76"/>
      <c r="M360" s="76">
        <v>72083.509999999995</v>
      </c>
      <c r="N360" s="76"/>
      <c r="O360" s="76">
        <v>0</v>
      </c>
      <c r="P360" s="76"/>
      <c r="Q360" s="76">
        <v>71747.520000000004</v>
      </c>
      <c r="R360" s="76"/>
      <c r="S360" s="76">
        <v>0</v>
      </c>
      <c r="T360" s="76"/>
      <c r="U360" s="76">
        <v>0</v>
      </c>
      <c r="V360" s="76"/>
      <c r="W360" s="76">
        <v>0</v>
      </c>
      <c r="X360" s="76"/>
      <c r="Y360" s="76">
        <v>31486.77</v>
      </c>
      <c r="Z360" s="76"/>
      <c r="AA360" s="76">
        <v>0</v>
      </c>
      <c r="AB360" s="76"/>
      <c r="AC360" s="76">
        <v>0</v>
      </c>
      <c r="AD360" s="76"/>
      <c r="AE360" s="76">
        <f t="shared" si="35"/>
        <v>314599.01</v>
      </c>
      <c r="AF360" s="76"/>
      <c r="AG360" s="76">
        <v>57823.29</v>
      </c>
      <c r="AH360" s="76"/>
      <c r="AI360" s="76">
        <v>86934.03</v>
      </c>
      <c r="AJ360" s="76"/>
      <c r="AK360" s="76">
        <v>144757.32</v>
      </c>
      <c r="AL360" s="24">
        <f>+'Gen Rev'!AI360-'Gen Exp'!AE360+'Gen Exp'!AI360-AK360</f>
        <v>0</v>
      </c>
      <c r="AM360" s="41" t="str">
        <f>'Gen Rev'!A360</f>
        <v>Luckey</v>
      </c>
      <c r="AN360" s="21" t="str">
        <f t="shared" si="36"/>
        <v>Luckey</v>
      </c>
      <c r="AO360" s="21" t="b">
        <f t="shared" ref="AO360:AO391" si="38">AM360=AN360</f>
        <v>1</v>
      </c>
    </row>
    <row r="361" spans="1:41" ht="12" customHeight="1" x14ac:dyDescent="0.2">
      <c r="A361" s="1" t="s">
        <v>110</v>
      </c>
      <c r="C361" s="1" t="s">
        <v>767</v>
      </c>
      <c r="E361" s="76">
        <v>1127.4000000000001</v>
      </c>
      <c r="F361" s="76"/>
      <c r="G361" s="76">
        <v>4536.01</v>
      </c>
      <c r="H361" s="76"/>
      <c r="I361" s="76">
        <v>9708.67</v>
      </c>
      <c r="J361" s="76"/>
      <c r="K361" s="76">
        <v>0</v>
      </c>
      <c r="L361" s="76"/>
      <c r="M361" s="76">
        <v>1934.17</v>
      </c>
      <c r="N361" s="76"/>
      <c r="O361" s="76">
        <v>0</v>
      </c>
      <c r="P361" s="76"/>
      <c r="Q361" s="76">
        <v>94665.279999999999</v>
      </c>
      <c r="R361" s="76"/>
      <c r="S361" s="76">
        <v>3883.85</v>
      </c>
      <c r="T361" s="76"/>
      <c r="U361" s="76">
        <v>0</v>
      </c>
      <c r="V361" s="76"/>
      <c r="W361" s="76">
        <v>0</v>
      </c>
      <c r="X361" s="76"/>
      <c r="Y361" s="76">
        <v>0</v>
      </c>
      <c r="Z361" s="76"/>
      <c r="AA361" s="76">
        <v>9922</v>
      </c>
      <c r="AB361" s="76"/>
      <c r="AC361" s="76">
        <v>0</v>
      </c>
      <c r="AD361" s="76"/>
      <c r="AE361" s="76">
        <f t="shared" si="35"/>
        <v>125777.38</v>
      </c>
      <c r="AF361" s="76"/>
      <c r="AG361" s="76">
        <v>56358.61</v>
      </c>
      <c r="AH361" s="76"/>
      <c r="AI361" s="76">
        <v>98535.95</v>
      </c>
      <c r="AJ361" s="76"/>
      <c r="AK361" s="76">
        <v>154894.56</v>
      </c>
      <c r="AL361" s="24">
        <f>+'Gen Rev'!AI361-'Gen Exp'!AE361+'Gen Exp'!AI361-AK361</f>
        <v>0</v>
      </c>
      <c r="AM361" s="41" t="str">
        <f>'Gen Rev'!A361</f>
        <v>Lynchburg</v>
      </c>
      <c r="AN361" s="21" t="str">
        <f t="shared" si="36"/>
        <v>Lynchburg</v>
      </c>
      <c r="AO361" s="21" t="b">
        <f t="shared" si="38"/>
        <v>1</v>
      </c>
    </row>
    <row r="362" spans="1:41" s="21" customFormat="1" ht="12" customHeight="1" x14ac:dyDescent="0.2">
      <c r="A362" s="1"/>
      <c r="B362" s="1"/>
      <c r="C362" s="1"/>
      <c r="D362" s="23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24"/>
      <c r="AM362" s="41"/>
    </row>
    <row r="363" spans="1:41" s="21" customFormat="1" ht="12" customHeight="1" x14ac:dyDescent="0.2">
      <c r="A363" s="1"/>
      <c r="B363" s="1"/>
      <c r="C363" s="1"/>
      <c r="D363" s="23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 t="s">
        <v>850</v>
      </c>
      <c r="AF363" s="76"/>
      <c r="AG363" s="76"/>
      <c r="AH363" s="76"/>
      <c r="AI363" s="76"/>
      <c r="AJ363" s="76"/>
      <c r="AK363" s="76"/>
      <c r="AL363" s="24"/>
      <c r="AM363" s="41"/>
    </row>
    <row r="364" spans="1:41" s="21" customFormat="1" ht="12" customHeight="1" x14ac:dyDescent="0.2">
      <c r="A364" s="1"/>
      <c r="B364" s="1"/>
      <c r="C364" s="1"/>
      <c r="D364" s="23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24"/>
      <c r="AM364" s="41"/>
    </row>
    <row r="365" spans="1:41" ht="12" customHeight="1" x14ac:dyDescent="0.2">
      <c r="A365" s="1" t="s">
        <v>78</v>
      </c>
      <c r="C365" s="1" t="s">
        <v>759</v>
      </c>
      <c r="D365" s="23"/>
      <c r="E365" s="88">
        <v>14049.47</v>
      </c>
      <c r="F365" s="88"/>
      <c r="G365" s="88">
        <v>0</v>
      </c>
      <c r="H365" s="88"/>
      <c r="I365" s="88">
        <v>0</v>
      </c>
      <c r="J365" s="88"/>
      <c r="K365" s="88">
        <v>400</v>
      </c>
      <c r="L365" s="88"/>
      <c r="M365" s="88">
        <v>3029.9</v>
      </c>
      <c r="N365" s="88"/>
      <c r="O365" s="88">
        <v>14351.2</v>
      </c>
      <c r="P365" s="88"/>
      <c r="Q365" s="88">
        <v>91119.98</v>
      </c>
      <c r="R365" s="88"/>
      <c r="S365" s="88">
        <v>0</v>
      </c>
      <c r="T365" s="88"/>
      <c r="U365" s="88">
        <v>0</v>
      </c>
      <c r="V365" s="88"/>
      <c r="W365" s="88">
        <v>0</v>
      </c>
      <c r="X365" s="88"/>
      <c r="Y365" s="88">
        <v>0</v>
      </c>
      <c r="Z365" s="88"/>
      <c r="AA365" s="88">
        <v>35000</v>
      </c>
      <c r="AB365" s="88"/>
      <c r="AC365" s="88">
        <v>0</v>
      </c>
      <c r="AD365" s="88"/>
      <c r="AE365" s="88">
        <f t="shared" ref="AE365:AE396" si="39">SUM(E365:AC365)</f>
        <v>157950.54999999999</v>
      </c>
      <c r="AF365" s="76"/>
      <c r="AG365" s="76">
        <v>501.54</v>
      </c>
      <c r="AH365" s="76"/>
      <c r="AI365" s="76">
        <v>176044.24</v>
      </c>
      <c r="AJ365" s="76"/>
      <c r="AK365" s="76">
        <v>176545.78</v>
      </c>
      <c r="AL365" s="24">
        <f>+'Gen Rev'!AI362-'Gen Exp'!AE365+'Gen Exp'!AI365-AK365</f>
        <v>0</v>
      </c>
      <c r="AM365" s="41" t="str">
        <f>'Gen Rev'!A362</f>
        <v>Lyons</v>
      </c>
      <c r="AN365" s="21" t="str">
        <f t="shared" ref="AN365:AN396" si="40">A365</f>
        <v>Lyons</v>
      </c>
      <c r="AO365" s="21" t="b">
        <f t="shared" ref="AO365:AO396" si="41">AM365=AN365</f>
        <v>1</v>
      </c>
    </row>
    <row r="366" spans="1:41" ht="12" customHeight="1" x14ac:dyDescent="0.2">
      <c r="A366" s="15" t="s">
        <v>432</v>
      </c>
      <c r="B366" s="15"/>
      <c r="C366" s="15" t="s">
        <v>430</v>
      </c>
      <c r="D366" s="23"/>
      <c r="E366" s="76">
        <v>617537.38</v>
      </c>
      <c r="F366" s="76"/>
      <c r="G366" s="76">
        <v>0</v>
      </c>
      <c r="H366" s="76"/>
      <c r="I366" s="76">
        <v>15674.46</v>
      </c>
      <c r="J366" s="76"/>
      <c r="K366" s="76">
        <v>0</v>
      </c>
      <c r="L366" s="76"/>
      <c r="M366" s="76">
        <v>0</v>
      </c>
      <c r="N366" s="76"/>
      <c r="O366" s="76">
        <v>0</v>
      </c>
      <c r="P366" s="76"/>
      <c r="Q366" s="76">
        <v>382056.32</v>
      </c>
      <c r="R366" s="76"/>
      <c r="S366" s="76">
        <v>42709.94</v>
      </c>
      <c r="T366" s="76"/>
      <c r="U366" s="76">
        <v>0</v>
      </c>
      <c r="V366" s="76"/>
      <c r="W366" s="76">
        <v>0</v>
      </c>
      <c r="X366" s="76"/>
      <c r="Y366" s="76">
        <v>264789.81</v>
      </c>
      <c r="Z366" s="76"/>
      <c r="AA366" s="76">
        <v>0</v>
      </c>
      <c r="AB366" s="76"/>
      <c r="AC366" s="76">
        <v>0</v>
      </c>
      <c r="AD366" s="76"/>
      <c r="AE366" s="76">
        <f t="shared" si="39"/>
        <v>1322767.9099999999</v>
      </c>
      <c r="AF366" s="76"/>
      <c r="AG366" s="76">
        <v>85672.56</v>
      </c>
      <c r="AH366" s="76"/>
      <c r="AI366" s="76">
        <v>206055.87</v>
      </c>
      <c r="AJ366" s="76"/>
      <c r="AK366" s="76">
        <v>291728.43</v>
      </c>
      <c r="AL366" s="24">
        <f>+'Gen Rev'!AI363-'Gen Exp'!AE366+'Gen Exp'!AI366-AK366</f>
        <v>0</v>
      </c>
      <c r="AM366" s="41" t="str">
        <f>'Gen Rev'!A363</f>
        <v>Madison</v>
      </c>
      <c r="AN366" s="21" t="str">
        <f t="shared" si="40"/>
        <v>Madison</v>
      </c>
      <c r="AO366" s="21" t="b">
        <f t="shared" si="41"/>
        <v>1</v>
      </c>
    </row>
    <row r="367" spans="1:41" s="21" customFormat="1" ht="12" customHeight="1" x14ac:dyDescent="0.2">
      <c r="A367" s="1" t="s">
        <v>236</v>
      </c>
      <c r="B367" s="1"/>
      <c r="C367" s="1" t="s">
        <v>807</v>
      </c>
      <c r="D367" s="23"/>
      <c r="E367" s="76">
        <v>3783.9</v>
      </c>
      <c r="F367" s="76"/>
      <c r="G367" s="76">
        <v>4072.88</v>
      </c>
      <c r="H367" s="76"/>
      <c r="I367" s="76">
        <v>666.45</v>
      </c>
      <c r="J367" s="76"/>
      <c r="K367" s="76">
        <v>0</v>
      </c>
      <c r="L367" s="76"/>
      <c r="M367" s="76">
        <v>0</v>
      </c>
      <c r="N367" s="76"/>
      <c r="O367" s="76">
        <v>0</v>
      </c>
      <c r="P367" s="76"/>
      <c r="Q367" s="76">
        <v>21491.87</v>
      </c>
      <c r="R367" s="76"/>
      <c r="S367" s="76">
        <v>415</v>
      </c>
      <c r="T367" s="76"/>
      <c r="U367" s="76">
        <v>0</v>
      </c>
      <c r="V367" s="76"/>
      <c r="W367" s="76">
        <v>0</v>
      </c>
      <c r="X367" s="76"/>
      <c r="Y367" s="76">
        <v>0</v>
      </c>
      <c r="Z367" s="76"/>
      <c r="AA367" s="76">
        <v>0</v>
      </c>
      <c r="AB367" s="76"/>
      <c r="AC367" s="76">
        <v>0</v>
      </c>
      <c r="AD367" s="76"/>
      <c r="AE367" s="76">
        <f t="shared" si="39"/>
        <v>30430.1</v>
      </c>
      <c r="AF367" s="76"/>
      <c r="AG367" s="76">
        <v>2389.08</v>
      </c>
      <c r="AH367" s="76"/>
      <c r="AI367" s="76">
        <v>19776.57</v>
      </c>
      <c r="AJ367" s="76"/>
      <c r="AK367" s="76">
        <v>22165.65</v>
      </c>
      <c r="AL367" s="24">
        <f>+'Gen Rev'!AI364-'Gen Exp'!AE367+'Gen Exp'!AI367-AK367</f>
        <v>0</v>
      </c>
      <c r="AM367" s="41" t="str">
        <f>'Gen Rev'!A364</f>
        <v>Magnetic Springs</v>
      </c>
      <c r="AN367" s="21" t="str">
        <f t="shared" si="40"/>
        <v>Magnetic Springs</v>
      </c>
      <c r="AO367" s="21" t="b">
        <f t="shared" si="41"/>
        <v>1</v>
      </c>
    </row>
    <row r="368" spans="1:41" s="21" customFormat="1" ht="12" customHeight="1" x14ac:dyDescent="0.2">
      <c r="A368" s="15" t="s">
        <v>544</v>
      </c>
      <c r="B368" s="15"/>
      <c r="C368" s="15" t="s">
        <v>540</v>
      </c>
      <c r="D368" s="15"/>
      <c r="E368" s="76">
        <v>179131</v>
      </c>
      <c r="F368" s="76"/>
      <c r="G368" s="76">
        <v>4345</v>
      </c>
      <c r="H368" s="76"/>
      <c r="I368" s="76">
        <v>13991</v>
      </c>
      <c r="J368" s="76"/>
      <c r="K368" s="76">
        <v>0</v>
      </c>
      <c r="L368" s="76"/>
      <c r="M368" s="76">
        <v>10880</v>
      </c>
      <c r="N368" s="76"/>
      <c r="O368" s="76">
        <v>89231</v>
      </c>
      <c r="P368" s="76"/>
      <c r="Q368" s="76">
        <v>62557</v>
      </c>
      <c r="R368" s="76"/>
      <c r="S368" s="76">
        <v>0</v>
      </c>
      <c r="T368" s="76"/>
      <c r="U368" s="76">
        <v>1549</v>
      </c>
      <c r="V368" s="76"/>
      <c r="W368" s="76">
        <v>451</v>
      </c>
      <c r="X368" s="76"/>
      <c r="Y368" s="76">
        <v>3231</v>
      </c>
      <c r="Z368" s="76"/>
      <c r="AA368" s="76">
        <v>0</v>
      </c>
      <c r="AB368" s="76"/>
      <c r="AC368" s="76">
        <v>0</v>
      </c>
      <c r="AD368" s="76"/>
      <c r="AE368" s="76">
        <f t="shared" si="39"/>
        <v>365366</v>
      </c>
      <c r="AF368" s="76"/>
      <c r="AG368" s="76">
        <v>-50211</v>
      </c>
      <c r="AH368" s="76"/>
      <c r="AI368" s="76">
        <v>101949</v>
      </c>
      <c r="AJ368" s="76"/>
      <c r="AK368" s="76">
        <v>51738</v>
      </c>
      <c r="AL368" s="24">
        <f>+'Gen Rev'!AI365-'Gen Exp'!AE368+'Gen Exp'!AI368-AK368</f>
        <v>0</v>
      </c>
      <c r="AM368" s="41" t="str">
        <f>'Gen Rev'!A365</f>
        <v>Magnolia</v>
      </c>
      <c r="AN368" s="21" t="str">
        <f t="shared" si="40"/>
        <v>Magnolia</v>
      </c>
      <c r="AO368" s="21" t="b">
        <f t="shared" si="41"/>
        <v>1</v>
      </c>
    </row>
    <row r="369" spans="1:41" s="21" customFormat="1" ht="12" customHeight="1" x14ac:dyDescent="0.2">
      <c r="A369" s="1" t="s">
        <v>242</v>
      </c>
      <c r="B369" s="1"/>
      <c r="C369" s="1" t="s">
        <v>809</v>
      </c>
      <c r="D369" s="23"/>
      <c r="E369" s="76">
        <v>149758.24</v>
      </c>
      <c r="F369" s="76"/>
      <c r="G369" s="76">
        <v>0</v>
      </c>
      <c r="H369" s="76"/>
      <c r="I369" s="76">
        <v>0</v>
      </c>
      <c r="J369" s="76"/>
      <c r="K369" s="76">
        <v>19342.5</v>
      </c>
      <c r="L369" s="76"/>
      <c r="M369" s="76">
        <v>77865.78</v>
      </c>
      <c r="N369" s="76"/>
      <c r="O369" s="76">
        <v>51731.4</v>
      </c>
      <c r="P369" s="76"/>
      <c r="Q369" s="76">
        <v>194360.1</v>
      </c>
      <c r="R369" s="76"/>
      <c r="S369" s="76">
        <v>0</v>
      </c>
      <c r="T369" s="76"/>
      <c r="U369" s="76">
        <v>2793.18</v>
      </c>
      <c r="V369" s="76"/>
      <c r="W369" s="76">
        <v>124.3</v>
      </c>
      <c r="X369" s="76"/>
      <c r="Y369" s="76">
        <v>0</v>
      </c>
      <c r="Z369" s="76"/>
      <c r="AA369" s="76">
        <v>0</v>
      </c>
      <c r="AB369" s="76"/>
      <c r="AC369" s="76">
        <v>184.98</v>
      </c>
      <c r="AD369" s="76"/>
      <c r="AE369" s="76">
        <f t="shared" si="39"/>
        <v>496160.48</v>
      </c>
      <c r="AF369" s="76"/>
      <c r="AG369" s="76">
        <v>-43050.95</v>
      </c>
      <c r="AH369" s="76"/>
      <c r="AI369" s="76">
        <v>357356.05</v>
      </c>
      <c r="AJ369" s="76"/>
      <c r="AK369" s="76">
        <v>314305.09999999998</v>
      </c>
      <c r="AL369" s="24">
        <f>+'Gen Rev'!AI366-'Gen Exp'!AE369+'Gen Exp'!AI369-AK369</f>
        <v>0</v>
      </c>
      <c r="AM369" s="41" t="str">
        <f>'Gen Rev'!A366</f>
        <v>Maineville</v>
      </c>
      <c r="AN369" s="21" t="str">
        <f t="shared" si="40"/>
        <v>Maineville</v>
      </c>
      <c r="AO369" s="21" t="b">
        <f t="shared" si="41"/>
        <v>1</v>
      </c>
    </row>
    <row r="370" spans="1:41" ht="12" customHeight="1" x14ac:dyDescent="0.2">
      <c r="A370" s="1" t="s">
        <v>107</v>
      </c>
      <c r="C370" s="1" t="s">
        <v>766</v>
      </c>
      <c r="D370" s="23"/>
      <c r="E370" s="76">
        <v>9603.6</v>
      </c>
      <c r="F370" s="76"/>
      <c r="G370" s="76">
        <v>0</v>
      </c>
      <c r="H370" s="76"/>
      <c r="I370" s="76">
        <v>1242.73</v>
      </c>
      <c r="J370" s="76"/>
      <c r="K370" s="76">
        <v>780</v>
      </c>
      <c r="L370" s="76"/>
      <c r="M370" s="76">
        <v>1865.55</v>
      </c>
      <c r="N370" s="76"/>
      <c r="O370" s="76">
        <v>2276.3200000000002</v>
      </c>
      <c r="P370" s="76"/>
      <c r="Q370" s="76">
        <v>49888.99</v>
      </c>
      <c r="R370" s="76"/>
      <c r="S370" s="76">
        <v>1000</v>
      </c>
      <c r="T370" s="76"/>
      <c r="U370" s="76">
        <v>0</v>
      </c>
      <c r="V370" s="76"/>
      <c r="W370" s="76">
        <v>0</v>
      </c>
      <c r="X370" s="76"/>
      <c r="Y370" s="76">
        <v>1019.21</v>
      </c>
      <c r="Z370" s="76"/>
      <c r="AA370" s="76">
        <v>0</v>
      </c>
      <c r="AB370" s="76"/>
      <c r="AC370" s="76">
        <v>508</v>
      </c>
      <c r="AD370" s="76"/>
      <c r="AE370" s="76">
        <f t="shared" si="39"/>
        <v>68184.400000000009</v>
      </c>
      <c r="AF370" s="76"/>
      <c r="AG370" s="76">
        <v>55013.8</v>
      </c>
      <c r="AH370" s="76"/>
      <c r="AI370" s="76">
        <v>34853.99</v>
      </c>
      <c r="AJ370" s="76"/>
      <c r="AK370" s="76">
        <v>89867.79</v>
      </c>
      <c r="AL370" s="24">
        <f>+'Gen Rev'!AI367-'Gen Exp'!AE370+'Gen Exp'!AI370-AK370</f>
        <v>0</v>
      </c>
      <c r="AM370" s="41" t="str">
        <f>'Gen Rev'!A367</f>
        <v>Malinta</v>
      </c>
      <c r="AN370" s="21" t="str">
        <f t="shared" si="40"/>
        <v>Malinta</v>
      </c>
      <c r="AO370" s="21" t="b">
        <f t="shared" si="41"/>
        <v>1</v>
      </c>
    </row>
    <row r="371" spans="1:41" ht="12" customHeight="1" x14ac:dyDescent="0.2">
      <c r="A371" s="1" t="s">
        <v>928</v>
      </c>
      <c r="C371" s="1" t="s">
        <v>882</v>
      </c>
      <c r="D371" s="23"/>
      <c r="E371" s="76">
        <v>235</v>
      </c>
      <c r="F371" s="76"/>
      <c r="G371" s="76">
        <v>0</v>
      </c>
      <c r="H371" s="76"/>
      <c r="I371" s="76">
        <v>0</v>
      </c>
      <c r="J371" s="76"/>
      <c r="K371" s="76">
        <v>0</v>
      </c>
      <c r="L371" s="76"/>
      <c r="M371" s="76">
        <v>0</v>
      </c>
      <c r="N371" s="76"/>
      <c r="O371" s="76">
        <v>0</v>
      </c>
      <c r="P371" s="76"/>
      <c r="Q371" s="76">
        <v>126645.21</v>
      </c>
      <c r="R371" s="76"/>
      <c r="S371" s="76">
        <v>0</v>
      </c>
      <c r="T371" s="76"/>
      <c r="U371" s="76">
        <v>0</v>
      </c>
      <c r="V371" s="76"/>
      <c r="W371" s="76">
        <v>0</v>
      </c>
      <c r="X371" s="76"/>
      <c r="Y371" s="76">
        <v>0</v>
      </c>
      <c r="Z371" s="76"/>
      <c r="AA371" s="76">
        <v>0</v>
      </c>
      <c r="AB371" s="76"/>
      <c r="AC371" s="76">
        <v>0</v>
      </c>
      <c r="AD371" s="76"/>
      <c r="AE371" s="76">
        <f t="shared" si="39"/>
        <v>126880.21</v>
      </c>
      <c r="AF371" s="76"/>
      <c r="AG371" s="76">
        <v>53053.59</v>
      </c>
      <c r="AH371" s="76"/>
      <c r="AI371" s="76">
        <v>67594</v>
      </c>
      <c r="AJ371" s="76"/>
      <c r="AK371" s="76">
        <v>120647.59</v>
      </c>
      <c r="AL371" s="24">
        <f>+'Gen Rev'!AI368-'Gen Exp'!AE371+'Gen Exp'!AI371-AK371</f>
        <v>0</v>
      </c>
      <c r="AM371" s="41" t="str">
        <f>'Gen Rev'!A368</f>
        <v>Malta</v>
      </c>
      <c r="AN371" s="21" t="str">
        <f t="shared" si="40"/>
        <v>Malta</v>
      </c>
      <c r="AO371" s="21" t="b">
        <f t="shared" si="41"/>
        <v>1</v>
      </c>
    </row>
    <row r="372" spans="1:41" s="10" customFormat="1" ht="12" customHeight="1" x14ac:dyDescent="0.2">
      <c r="A372" s="1" t="s">
        <v>30</v>
      </c>
      <c r="B372" s="1"/>
      <c r="C372" s="1" t="s">
        <v>744</v>
      </c>
      <c r="D372" s="1"/>
      <c r="E372" s="76">
        <v>19449.919999999998</v>
      </c>
      <c r="F372" s="76"/>
      <c r="G372" s="76">
        <v>7234.88</v>
      </c>
      <c r="H372" s="76"/>
      <c r="I372" s="76">
        <v>51981.43</v>
      </c>
      <c r="J372" s="76"/>
      <c r="K372" s="76">
        <v>0</v>
      </c>
      <c r="L372" s="76"/>
      <c r="M372" s="76">
        <v>0</v>
      </c>
      <c r="N372" s="76"/>
      <c r="O372" s="76">
        <v>0</v>
      </c>
      <c r="P372" s="76"/>
      <c r="Q372" s="76">
        <v>165736.35999999999</v>
      </c>
      <c r="R372" s="76"/>
      <c r="S372" s="76">
        <v>0</v>
      </c>
      <c r="T372" s="76"/>
      <c r="U372" s="76">
        <v>0</v>
      </c>
      <c r="V372" s="76"/>
      <c r="W372" s="76">
        <v>0</v>
      </c>
      <c r="X372" s="76"/>
      <c r="Y372" s="76">
        <v>61200</v>
      </c>
      <c r="Z372" s="76"/>
      <c r="AA372" s="76">
        <v>0</v>
      </c>
      <c r="AB372" s="76"/>
      <c r="AC372" s="76">
        <v>0</v>
      </c>
      <c r="AD372" s="76"/>
      <c r="AE372" s="76">
        <f t="shared" si="39"/>
        <v>305602.58999999997</v>
      </c>
      <c r="AF372" s="76"/>
      <c r="AG372" s="76">
        <v>-39713.230000000003</v>
      </c>
      <c r="AH372" s="76"/>
      <c r="AI372" s="76">
        <v>180703.39</v>
      </c>
      <c r="AJ372" s="76"/>
      <c r="AK372" s="76">
        <v>140990.16</v>
      </c>
      <c r="AL372" s="24">
        <f>+'Gen Rev'!AI369-'Gen Exp'!AE372+'Gen Exp'!AI372-AK372</f>
        <v>0</v>
      </c>
      <c r="AM372" s="41" t="str">
        <f>'Gen Rev'!A369</f>
        <v>Malvern</v>
      </c>
      <c r="AN372" s="21" t="str">
        <f t="shared" si="40"/>
        <v>Malvern</v>
      </c>
      <c r="AO372" s="21" t="b">
        <f t="shared" si="41"/>
        <v>1</v>
      </c>
    </row>
    <row r="373" spans="1:41" ht="12" customHeight="1" x14ac:dyDescent="0.2">
      <c r="A373" s="1" t="s">
        <v>913</v>
      </c>
      <c r="C373" s="1" t="s">
        <v>659</v>
      </c>
      <c r="D373" s="49"/>
      <c r="E373" s="76">
        <v>7008.29</v>
      </c>
      <c r="F373" s="76"/>
      <c r="G373" s="76">
        <v>2861.42</v>
      </c>
      <c r="H373" s="76"/>
      <c r="I373" s="76">
        <v>0</v>
      </c>
      <c r="J373" s="76"/>
      <c r="K373" s="76">
        <v>0</v>
      </c>
      <c r="L373" s="76"/>
      <c r="M373" s="76">
        <v>0</v>
      </c>
      <c r="N373" s="76"/>
      <c r="O373" s="76">
        <v>0</v>
      </c>
      <c r="P373" s="76"/>
      <c r="Q373" s="76">
        <v>93711.64</v>
      </c>
      <c r="R373" s="76"/>
      <c r="S373" s="76">
        <v>0</v>
      </c>
      <c r="T373" s="76"/>
      <c r="U373" s="76">
        <v>0</v>
      </c>
      <c r="V373" s="76"/>
      <c r="W373" s="76">
        <v>0</v>
      </c>
      <c r="X373" s="76"/>
      <c r="Y373" s="76">
        <v>124757.87</v>
      </c>
      <c r="Z373" s="76"/>
      <c r="AA373" s="76">
        <v>0</v>
      </c>
      <c r="AB373" s="76"/>
      <c r="AC373" s="76">
        <v>0</v>
      </c>
      <c r="AD373" s="76"/>
      <c r="AE373" s="76">
        <f t="shared" si="39"/>
        <v>228339.22</v>
      </c>
      <c r="AF373" s="76"/>
      <c r="AG373" s="76">
        <v>25572.43</v>
      </c>
      <c r="AH373" s="76"/>
      <c r="AI373" s="76">
        <v>71178.039999999994</v>
      </c>
      <c r="AJ373" s="76"/>
      <c r="AK373" s="76">
        <v>96750.47</v>
      </c>
      <c r="AL373" s="24">
        <f>+'Gen Rev'!AI370-'Gen Exp'!AE373+'Gen Exp'!AI373-AK373</f>
        <v>0</v>
      </c>
      <c r="AM373" s="41" t="str">
        <f>'Gen Rev'!A370</f>
        <v>Manchester</v>
      </c>
      <c r="AN373" s="21" t="str">
        <f t="shared" si="40"/>
        <v>Manchester</v>
      </c>
      <c r="AO373" s="21" t="b">
        <f t="shared" si="41"/>
        <v>1</v>
      </c>
    </row>
    <row r="374" spans="1:41" s="21" customFormat="1" ht="12" customHeight="1" x14ac:dyDescent="0.2">
      <c r="A374" s="1" t="s">
        <v>195</v>
      </c>
      <c r="B374" s="1"/>
      <c r="C374" s="1" t="s">
        <v>795</v>
      </c>
      <c r="D374" s="23"/>
      <c r="E374" s="76">
        <v>418314.6</v>
      </c>
      <c r="F374" s="76"/>
      <c r="G374" s="76">
        <v>0</v>
      </c>
      <c r="H374" s="76"/>
      <c r="I374" s="76">
        <v>26406.29</v>
      </c>
      <c r="J374" s="76"/>
      <c r="K374" s="76">
        <v>6230.61</v>
      </c>
      <c r="L374" s="76"/>
      <c r="M374" s="76">
        <v>0</v>
      </c>
      <c r="N374" s="76"/>
      <c r="O374" s="76">
        <v>15093.42</v>
      </c>
      <c r="P374" s="76"/>
      <c r="Q374" s="76">
        <v>182635.47</v>
      </c>
      <c r="R374" s="76"/>
      <c r="S374" s="76">
        <v>0</v>
      </c>
      <c r="T374" s="76"/>
      <c r="U374" s="76">
        <v>0</v>
      </c>
      <c r="V374" s="76"/>
      <c r="W374" s="76">
        <v>0</v>
      </c>
      <c r="X374" s="76"/>
      <c r="Y374" s="76">
        <v>0</v>
      </c>
      <c r="Z374" s="76"/>
      <c r="AA374" s="76">
        <v>2000</v>
      </c>
      <c r="AB374" s="76"/>
      <c r="AC374" s="76">
        <v>0</v>
      </c>
      <c r="AD374" s="76"/>
      <c r="AE374" s="76">
        <f t="shared" si="39"/>
        <v>650680.3899999999</v>
      </c>
      <c r="AF374" s="76"/>
      <c r="AG374" s="76">
        <v>92508.68</v>
      </c>
      <c r="AH374" s="76"/>
      <c r="AI374" s="76">
        <v>38600.949999999997</v>
      </c>
      <c r="AJ374" s="76"/>
      <c r="AK374" s="76">
        <v>131109.63</v>
      </c>
      <c r="AL374" s="24">
        <f>+'Gen Rev'!AI371-'Gen Exp'!AE374+'Gen Exp'!AI374-AK374</f>
        <v>0</v>
      </c>
      <c r="AM374" s="41" t="str">
        <f>'Gen Rev'!A371</f>
        <v>Mantua</v>
      </c>
      <c r="AN374" s="21" t="str">
        <f t="shared" si="40"/>
        <v>Mantua</v>
      </c>
      <c r="AO374" s="21" t="b">
        <f t="shared" si="41"/>
        <v>1</v>
      </c>
    </row>
    <row r="375" spans="1:41" ht="12" customHeight="1" x14ac:dyDescent="0.2">
      <c r="A375" s="1" t="s">
        <v>73</v>
      </c>
      <c r="C375" s="1" t="s">
        <v>758</v>
      </c>
      <c r="E375" s="76">
        <v>401458.05</v>
      </c>
      <c r="F375" s="76"/>
      <c r="G375" s="76">
        <v>8511.6299999999992</v>
      </c>
      <c r="H375" s="76"/>
      <c r="I375" s="76">
        <v>49186.61</v>
      </c>
      <c r="J375" s="76"/>
      <c r="K375" s="76">
        <v>588</v>
      </c>
      <c r="L375" s="76"/>
      <c r="M375" s="76">
        <v>91966.2</v>
      </c>
      <c r="N375" s="76"/>
      <c r="O375" s="76">
        <v>10000</v>
      </c>
      <c r="P375" s="76"/>
      <c r="Q375" s="76">
        <v>329984.49</v>
      </c>
      <c r="R375" s="76"/>
      <c r="S375" s="76">
        <v>59798.73</v>
      </c>
      <c r="T375" s="76"/>
      <c r="U375" s="76">
        <v>0</v>
      </c>
      <c r="V375" s="76"/>
      <c r="W375" s="76">
        <v>0</v>
      </c>
      <c r="X375" s="76"/>
      <c r="Y375" s="76">
        <v>178866.17</v>
      </c>
      <c r="Z375" s="76"/>
      <c r="AA375" s="76">
        <v>0</v>
      </c>
      <c r="AB375" s="76"/>
      <c r="AC375" s="76">
        <v>0</v>
      </c>
      <c r="AD375" s="76"/>
      <c r="AE375" s="76">
        <f t="shared" si="39"/>
        <v>1130359.8799999999</v>
      </c>
      <c r="AF375" s="76"/>
      <c r="AG375" s="76">
        <v>799772.65</v>
      </c>
      <c r="AH375" s="76"/>
      <c r="AI375" s="76">
        <v>1979233.15</v>
      </c>
      <c r="AJ375" s="76"/>
      <c r="AK375" s="76">
        <v>2779005.8</v>
      </c>
      <c r="AL375" s="24">
        <f>+'Gen Rev'!AI372-'Gen Exp'!AE375+'Gen Exp'!AI375-AK375</f>
        <v>0</v>
      </c>
      <c r="AM375" s="41" t="str">
        <f>'Gen Rev'!A372</f>
        <v>Marble Cliff</v>
      </c>
      <c r="AN375" s="21" t="str">
        <f t="shared" si="40"/>
        <v>Marble Cliff</v>
      </c>
      <c r="AO375" s="21" t="b">
        <f t="shared" si="41"/>
        <v>1</v>
      </c>
    </row>
    <row r="376" spans="1:41" ht="12" customHeight="1" x14ac:dyDescent="0.2">
      <c r="A376" s="1" t="s">
        <v>828</v>
      </c>
      <c r="C376" s="1" t="s">
        <v>791</v>
      </c>
      <c r="D376" s="23"/>
      <c r="E376" s="76">
        <v>333105.53000000003</v>
      </c>
      <c r="F376" s="76"/>
      <c r="G376" s="76">
        <v>32403.119999999999</v>
      </c>
      <c r="H376" s="76"/>
      <c r="I376" s="76">
        <v>28240.46</v>
      </c>
      <c r="J376" s="76"/>
      <c r="K376" s="76">
        <v>11920.23</v>
      </c>
      <c r="L376" s="76"/>
      <c r="M376" s="76">
        <v>0</v>
      </c>
      <c r="N376" s="76"/>
      <c r="O376" s="76">
        <v>190787.21</v>
      </c>
      <c r="P376" s="76"/>
      <c r="Q376" s="76">
        <v>134589.71</v>
      </c>
      <c r="R376" s="76"/>
      <c r="S376" s="76">
        <v>109356.39</v>
      </c>
      <c r="T376" s="76"/>
      <c r="U376" s="76">
        <v>0</v>
      </c>
      <c r="V376" s="76"/>
      <c r="W376" s="76">
        <v>0</v>
      </c>
      <c r="X376" s="76"/>
      <c r="Y376" s="76">
        <v>0</v>
      </c>
      <c r="Z376" s="76"/>
      <c r="AA376" s="76">
        <v>0</v>
      </c>
      <c r="AB376" s="76"/>
      <c r="AC376" s="76">
        <v>4290.5</v>
      </c>
      <c r="AD376" s="76"/>
      <c r="AE376" s="76">
        <f t="shared" si="39"/>
        <v>844693.15</v>
      </c>
      <c r="AF376" s="76"/>
      <c r="AG376" s="76">
        <v>-227967.24</v>
      </c>
      <c r="AH376" s="76"/>
      <c r="AI376" s="76">
        <v>1465837</v>
      </c>
      <c r="AJ376" s="76"/>
      <c r="AK376" s="76">
        <v>1237869.76</v>
      </c>
      <c r="AL376" s="24">
        <f>+'Gen Rev'!AI373-'Gen Exp'!AE376+'Gen Exp'!AI376-AK376</f>
        <v>0</v>
      </c>
      <c r="AM376" s="41" t="str">
        <f>'Gen Rev'!A373</f>
        <v>Marblehead</v>
      </c>
      <c r="AN376" s="21" t="str">
        <f t="shared" si="40"/>
        <v>Marblehead</v>
      </c>
      <c r="AO376" s="21" t="b">
        <f t="shared" si="41"/>
        <v>1</v>
      </c>
    </row>
    <row r="377" spans="1:41" s="21" customFormat="1" ht="12" customHeight="1" x14ac:dyDescent="0.2">
      <c r="A377" s="1" t="s">
        <v>173</v>
      </c>
      <c r="B377" s="1"/>
      <c r="C377" s="1" t="s">
        <v>243</v>
      </c>
      <c r="D377" s="1"/>
      <c r="E377" s="76">
        <v>0</v>
      </c>
      <c r="F377" s="76"/>
      <c r="G377" s="76">
        <v>0</v>
      </c>
      <c r="H377" s="76"/>
      <c r="I377" s="76">
        <v>0</v>
      </c>
      <c r="J377" s="76"/>
      <c r="K377" s="76">
        <v>0</v>
      </c>
      <c r="L377" s="76"/>
      <c r="M377" s="76">
        <v>0</v>
      </c>
      <c r="N377" s="76"/>
      <c r="O377" s="76">
        <v>0</v>
      </c>
      <c r="P377" s="76"/>
      <c r="Q377" s="76">
        <v>41950.22</v>
      </c>
      <c r="R377" s="76"/>
      <c r="S377" s="76">
        <v>0</v>
      </c>
      <c r="T377" s="76"/>
      <c r="U377" s="76">
        <v>0</v>
      </c>
      <c r="V377" s="76"/>
      <c r="W377" s="76">
        <v>0</v>
      </c>
      <c r="X377" s="76"/>
      <c r="Y377" s="76">
        <v>0</v>
      </c>
      <c r="Z377" s="76"/>
      <c r="AA377" s="76">
        <v>0</v>
      </c>
      <c r="AB377" s="76"/>
      <c r="AC377" s="76">
        <v>0</v>
      </c>
      <c r="AD377" s="76"/>
      <c r="AE377" s="76">
        <f t="shared" si="39"/>
        <v>41950.22</v>
      </c>
      <c r="AF377" s="76"/>
      <c r="AG377" s="76">
        <v>-21002.3</v>
      </c>
      <c r="AH377" s="76"/>
      <c r="AI377" s="76">
        <v>66033.919999999998</v>
      </c>
      <c r="AJ377" s="76"/>
      <c r="AK377" s="76">
        <v>45031.62</v>
      </c>
      <c r="AL377" s="24">
        <f>+'Gen Rev'!AI374-'Gen Exp'!AE377+'Gen Exp'!AI377-AK377</f>
        <v>0</v>
      </c>
      <c r="AM377" s="41" t="str">
        <f>'Gen Rev'!A374</f>
        <v>Marengo</v>
      </c>
      <c r="AN377" s="21" t="str">
        <f t="shared" si="40"/>
        <v>Marengo</v>
      </c>
      <c r="AO377" s="21" t="b">
        <f t="shared" si="41"/>
        <v>1</v>
      </c>
    </row>
    <row r="378" spans="1:41" s="31" customFormat="1" ht="12" customHeight="1" x14ac:dyDescent="0.2">
      <c r="A378" s="1" t="s">
        <v>384</v>
      </c>
      <c r="B378" s="1"/>
      <c r="C378" s="1" t="s">
        <v>378</v>
      </c>
      <c r="D378" s="1"/>
      <c r="E378" s="76">
        <v>1509724</v>
      </c>
      <c r="F378" s="76"/>
      <c r="G378" s="76">
        <v>7441</v>
      </c>
      <c r="H378" s="76"/>
      <c r="I378" s="76">
        <v>593890</v>
      </c>
      <c r="J378" s="76"/>
      <c r="K378" s="76">
        <v>88235</v>
      </c>
      <c r="L378" s="76"/>
      <c r="M378" s="76">
        <v>273656</v>
      </c>
      <c r="N378" s="76"/>
      <c r="O378" s="76">
        <v>12875</v>
      </c>
      <c r="P378" s="76"/>
      <c r="Q378" s="76">
        <v>570159</v>
      </c>
      <c r="R378" s="76"/>
      <c r="S378" s="76">
        <v>0</v>
      </c>
      <c r="T378" s="76"/>
      <c r="U378" s="76">
        <v>0</v>
      </c>
      <c r="V378" s="76"/>
      <c r="W378" s="76">
        <v>0</v>
      </c>
      <c r="X378" s="76"/>
      <c r="Y378" s="76">
        <v>0</v>
      </c>
      <c r="Z378" s="76"/>
      <c r="AA378" s="76">
        <v>0</v>
      </c>
      <c r="AB378" s="76"/>
      <c r="AC378" s="76">
        <v>0</v>
      </c>
      <c r="AD378" s="76"/>
      <c r="AE378" s="76">
        <f t="shared" si="39"/>
        <v>3055980</v>
      </c>
      <c r="AF378" s="76"/>
      <c r="AG378" s="76">
        <v>211664</v>
      </c>
      <c r="AH378" s="76"/>
      <c r="AI378" s="76">
        <v>1104440</v>
      </c>
      <c r="AJ378" s="76"/>
      <c r="AK378" s="76">
        <v>1316104</v>
      </c>
      <c r="AL378" s="24">
        <f>+'Gen Rev'!AI375-'Gen Exp'!AE378+'Gen Exp'!AI378-AK378</f>
        <v>0</v>
      </c>
      <c r="AM378" s="41" t="str">
        <f>'Gen Rev'!A375</f>
        <v>Mariemont</v>
      </c>
      <c r="AN378" s="21" t="str">
        <f t="shared" si="40"/>
        <v>Mariemont</v>
      </c>
      <c r="AO378" s="21" t="b">
        <f t="shared" si="41"/>
        <v>1</v>
      </c>
    </row>
    <row r="379" spans="1:41" s="21" customFormat="1" ht="12" hidden="1" customHeight="1" x14ac:dyDescent="0.2">
      <c r="A379" s="1" t="s">
        <v>586</v>
      </c>
      <c r="B379" s="1"/>
      <c r="C379" s="1" t="s">
        <v>810</v>
      </c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>
        <f t="shared" si="39"/>
        <v>0</v>
      </c>
      <c r="AF379" s="76"/>
      <c r="AG379" s="76"/>
      <c r="AH379" s="76"/>
      <c r="AI379" s="76"/>
      <c r="AJ379" s="76"/>
      <c r="AK379" s="76"/>
      <c r="AL379" s="24">
        <f>+'Gen Rev'!AI376-'Gen Exp'!AE379+'Gen Exp'!AI379-AK379</f>
        <v>0</v>
      </c>
      <c r="AM379" s="41" t="str">
        <f>'Gen Rev'!A376</f>
        <v>Marksburg</v>
      </c>
      <c r="AN379" s="21" t="str">
        <f t="shared" si="40"/>
        <v>Marksburg</v>
      </c>
      <c r="AO379" s="21" t="b">
        <f t="shared" si="41"/>
        <v>1</v>
      </c>
    </row>
    <row r="380" spans="1:41" ht="12" customHeight="1" x14ac:dyDescent="0.2">
      <c r="A380" s="1" t="s">
        <v>964</v>
      </c>
      <c r="C380" s="1" t="s">
        <v>609</v>
      </c>
      <c r="E380" s="76">
        <v>1740</v>
      </c>
      <c r="F380" s="76"/>
      <c r="G380" s="76">
        <v>265</v>
      </c>
      <c r="H380" s="76"/>
      <c r="I380" s="76">
        <v>0</v>
      </c>
      <c r="J380" s="76"/>
      <c r="K380" s="76">
        <v>0</v>
      </c>
      <c r="L380" s="76"/>
      <c r="M380" s="76">
        <v>899</v>
      </c>
      <c r="N380" s="76"/>
      <c r="O380" s="76">
        <v>0</v>
      </c>
      <c r="P380" s="76"/>
      <c r="Q380" s="76">
        <f>399+375+504+150+903+486</f>
        <v>2817</v>
      </c>
      <c r="R380" s="76"/>
      <c r="S380" s="76">
        <v>0</v>
      </c>
      <c r="T380" s="76"/>
      <c r="U380" s="76">
        <v>0</v>
      </c>
      <c r="V380" s="76"/>
      <c r="W380" s="76">
        <v>0</v>
      </c>
      <c r="X380" s="76"/>
      <c r="Y380" s="76">
        <v>0</v>
      </c>
      <c r="Z380" s="76"/>
      <c r="AA380" s="76">
        <v>0</v>
      </c>
      <c r="AB380" s="76"/>
      <c r="AC380" s="76">
        <v>0</v>
      </c>
      <c r="AD380" s="76"/>
      <c r="AE380" s="76">
        <f t="shared" si="39"/>
        <v>5721</v>
      </c>
      <c r="AF380" s="76"/>
      <c r="AG380" s="76">
        <f>'Gen Rev'!AI377-'Gen Exp'!AE380</f>
        <v>-594</v>
      </c>
      <c r="AH380" s="76"/>
      <c r="AI380" s="76" t="s">
        <v>956</v>
      </c>
      <c r="AJ380" s="76"/>
      <c r="AK380" s="76" t="s">
        <v>956</v>
      </c>
      <c r="AL380" s="24" t="e">
        <f>+'Gen Rev'!AI377-'Gen Exp'!AE380+'Gen Exp'!AI380-AK380</f>
        <v>#VALUE!</v>
      </c>
      <c r="AM380" s="41" t="str">
        <f>'Gen Rev'!A377</f>
        <v>Marseilles</v>
      </c>
      <c r="AN380" s="21" t="str">
        <f t="shared" si="40"/>
        <v>Marseilles</v>
      </c>
      <c r="AO380" s="21" t="b">
        <f t="shared" si="41"/>
        <v>1</v>
      </c>
    </row>
    <row r="381" spans="1:41" ht="12" customHeight="1" x14ac:dyDescent="0.2">
      <c r="A381" s="1" t="s">
        <v>680</v>
      </c>
      <c r="C381" s="1" t="s">
        <v>588</v>
      </c>
      <c r="E381" s="76">
        <v>59956</v>
      </c>
      <c r="F381" s="76"/>
      <c r="G381" s="76">
        <v>0</v>
      </c>
      <c r="H381" s="76"/>
      <c r="I381" s="76">
        <v>8545</v>
      </c>
      <c r="J381" s="76"/>
      <c r="K381" s="76">
        <v>0</v>
      </c>
      <c r="L381" s="76"/>
      <c r="M381" s="76">
        <v>0</v>
      </c>
      <c r="N381" s="76"/>
      <c r="O381" s="76">
        <v>1533</v>
      </c>
      <c r="P381" s="76"/>
      <c r="Q381" s="76">
        <v>63271</v>
      </c>
      <c r="R381" s="76"/>
      <c r="S381" s="76">
        <v>0</v>
      </c>
      <c r="T381" s="76"/>
      <c r="U381" s="76">
        <v>0</v>
      </c>
      <c r="V381" s="76"/>
      <c r="W381" s="76">
        <v>0</v>
      </c>
      <c r="X381" s="76"/>
      <c r="Y381" s="76">
        <v>58137</v>
      </c>
      <c r="Z381" s="76"/>
      <c r="AA381" s="76">
        <v>0</v>
      </c>
      <c r="AB381" s="76"/>
      <c r="AC381" s="76">
        <v>389</v>
      </c>
      <c r="AD381" s="76"/>
      <c r="AE381" s="76">
        <f t="shared" si="39"/>
        <v>191831</v>
      </c>
      <c r="AF381" s="76"/>
      <c r="AG381" s="76">
        <v>-9067</v>
      </c>
      <c r="AH381" s="76"/>
      <c r="AI381" s="76">
        <v>12172</v>
      </c>
      <c r="AJ381" s="76"/>
      <c r="AK381" s="76">
        <v>3105</v>
      </c>
      <c r="AL381" s="24">
        <f>+'Gen Rev'!AI378-'Gen Exp'!AE381+'Gen Exp'!AI381-AK381</f>
        <v>0</v>
      </c>
      <c r="AM381" s="41" t="str">
        <f>'Gen Rev'!A378</f>
        <v>Marshallville</v>
      </c>
      <c r="AN381" s="21" t="str">
        <f t="shared" si="40"/>
        <v>Marshallville</v>
      </c>
      <c r="AO381" s="21" t="b">
        <f t="shared" si="41"/>
        <v>1</v>
      </c>
    </row>
    <row r="382" spans="1:41" ht="12" customHeight="1" x14ac:dyDescent="0.2">
      <c r="A382" s="1" t="s">
        <v>123</v>
      </c>
      <c r="C382" s="1" t="s">
        <v>771</v>
      </c>
      <c r="D382" s="23"/>
      <c r="E382" s="76">
        <v>400</v>
      </c>
      <c r="F382" s="76"/>
      <c r="G382" s="76">
        <v>2377.5</v>
      </c>
      <c r="H382" s="76"/>
      <c r="I382" s="76">
        <v>667.92</v>
      </c>
      <c r="J382" s="76"/>
      <c r="K382" s="76">
        <v>0</v>
      </c>
      <c r="L382" s="76"/>
      <c r="M382" s="76">
        <v>0</v>
      </c>
      <c r="N382" s="76"/>
      <c r="O382" s="76">
        <v>0</v>
      </c>
      <c r="P382" s="76"/>
      <c r="Q382" s="76">
        <v>22781.16</v>
      </c>
      <c r="R382" s="76"/>
      <c r="S382" s="76">
        <v>0</v>
      </c>
      <c r="T382" s="76"/>
      <c r="U382" s="76">
        <v>0</v>
      </c>
      <c r="V382" s="76"/>
      <c r="W382" s="76">
        <v>0</v>
      </c>
      <c r="X382" s="76"/>
      <c r="Y382" s="76">
        <v>0</v>
      </c>
      <c r="Z382" s="76"/>
      <c r="AA382" s="76">
        <v>0</v>
      </c>
      <c r="AB382" s="76"/>
      <c r="AC382" s="76">
        <v>0</v>
      </c>
      <c r="AD382" s="76"/>
      <c r="AE382" s="76">
        <f t="shared" si="39"/>
        <v>26226.58</v>
      </c>
      <c r="AF382" s="76"/>
      <c r="AG382" s="76">
        <v>-2433.2600000000002</v>
      </c>
      <c r="AH382" s="76"/>
      <c r="AI382" s="76">
        <v>8001</v>
      </c>
      <c r="AJ382" s="76"/>
      <c r="AK382" s="76">
        <v>5567.74</v>
      </c>
      <c r="AL382" s="24">
        <f>+'Gen Rev'!AI379-'Gen Exp'!AE382+'Gen Exp'!AI382-AK382</f>
        <v>0</v>
      </c>
      <c r="AM382" s="41" t="str">
        <f>'Gen Rev'!A379</f>
        <v>Martinsburg</v>
      </c>
      <c r="AN382" s="21" t="str">
        <f t="shared" si="40"/>
        <v>Martinsburg</v>
      </c>
      <c r="AO382" s="21" t="b">
        <f t="shared" si="41"/>
        <v>1</v>
      </c>
    </row>
    <row r="383" spans="1:41" s="15" customFormat="1" ht="12" customHeight="1" x14ac:dyDescent="0.2">
      <c r="A383" s="1" t="s">
        <v>301</v>
      </c>
      <c r="B383" s="1"/>
      <c r="C383" s="1" t="s">
        <v>299</v>
      </c>
      <c r="D383" s="1"/>
      <c r="E383" s="76">
        <v>0</v>
      </c>
      <c r="F383" s="76"/>
      <c r="G383" s="76">
        <v>0</v>
      </c>
      <c r="H383" s="76"/>
      <c r="I383" s="76">
        <v>0</v>
      </c>
      <c r="J383" s="76"/>
      <c r="K383" s="76">
        <v>0</v>
      </c>
      <c r="L383" s="76"/>
      <c r="M383" s="76">
        <v>0</v>
      </c>
      <c r="N383" s="76"/>
      <c r="O383" s="76">
        <v>0</v>
      </c>
      <c r="P383" s="76"/>
      <c r="Q383" s="76">
        <v>25039.09</v>
      </c>
      <c r="R383" s="76"/>
      <c r="S383" s="76">
        <v>0</v>
      </c>
      <c r="T383" s="76"/>
      <c r="U383" s="76">
        <v>0</v>
      </c>
      <c r="V383" s="76"/>
      <c r="W383" s="76">
        <v>0</v>
      </c>
      <c r="X383" s="76"/>
      <c r="Y383" s="76">
        <v>0</v>
      </c>
      <c r="Z383" s="76"/>
      <c r="AA383" s="76">
        <v>0</v>
      </c>
      <c r="AB383" s="76"/>
      <c r="AC383" s="76">
        <v>0</v>
      </c>
      <c r="AD383" s="76"/>
      <c r="AE383" s="76">
        <f t="shared" si="39"/>
        <v>25039.09</v>
      </c>
      <c r="AF383" s="76"/>
      <c r="AG383" s="76">
        <v>551.87</v>
      </c>
      <c r="AH383" s="76"/>
      <c r="AI383" s="76">
        <v>9712.32</v>
      </c>
      <c r="AJ383" s="76"/>
      <c r="AK383" s="76">
        <v>10264.19</v>
      </c>
      <c r="AL383" s="24">
        <f>+'Gen Rev'!AI380-'Gen Exp'!AE383+'Gen Exp'!AI383-AK383</f>
        <v>0</v>
      </c>
      <c r="AM383" s="41" t="str">
        <f>'Gen Rev'!A380</f>
        <v>Martinsville</v>
      </c>
      <c r="AN383" s="21" t="str">
        <f t="shared" si="40"/>
        <v>Martinsville</v>
      </c>
      <c r="AO383" s="21" t="b">
        <f t="shared" si="41"/>
        <v>1</v>
      </c>
    </row>
    <row r="384" spans="1:41" ht="12" customHeight="1" x14ac:dyDescent="0.2">
      <c r="A384" s="1" t="s">
        <v>247</v>
      </c>
      <c r="C384" s="1" t="s">
        <v>810</v>
      </c>
      <c r="E384" s="76">
        <v>51414.84</v>
      </c>
      <c r="F384" s="76"/>
      <c r="G384" s="76">
        <v>1975.01</v>
      </c>
      <c r="H384" s="76"/>
      <c r="I384" s="76">
        <v>4192.8999999999996</v>
      </c>
      <c r="J384" s="76"/>
      <c r="K384" s="76">
        <v>0</v>
      </c>
      <c r="L384" s="76"/>
      <c r="M384" s="76">
        <v>10003.93</v>
      </c>
      <c r="N384" s="76"/>
      <c r="O384" s="76">
        <v>0</v>
      </c>
      <c r="P384" s="76"/>
      <c r="Q384" s="76">
        <v>33456.89</v>
      </c>
      <c r="R384" s="76"/>
      <c r="S384" s="76">
        <v>1316.76</v>
      </c>
      <c r="T384" s="76"/>
      <c r="U384" s="76">
        <v>0</v>
      </c>
      <c r="V384" s="76"/>
      <c r="W384" s="76">
        <v>0</v>
      </c>
      <c r="X384" s="76"/>
      <c r="Y384" s="76">
        <v>0</v>
      </c>
      <c r="Z384" s="76"/>
      <c r="AA384" s="76">
        <v>0</v>
      </c>
      <c r="AB384" s="76"/>
      <c r="AC384" s="76">
        <v>0</v>
      </c>
      <c r="AD384" s="76"/>
      <c r="AE384" s="76">
        <f t="shared" si="39"/>
        <v>102360.32999999999</v>
      </c>
      <c r="AF384" s="76"/>
      <c r="AG384" s="76">
        <v>-20150.150000000001</v>
      </c>
      <c r="AH384" s="76"/>
      <c r="AI384" s="76">
        <v>22686.44</v>
      </c>
      <c r="AJ384" s="76"/>
      <c r="AK384" s="76">
        <v>2536.29</v>
      </c>
      <c r="AL384" s="24">
        <f>+'Gen Rev'!AI381-'Gen Exp'!AE384+'Gen Exp'!AI384-AK384</f>
        <v>4.5474735088646412E-12</v>
      </c>
      <c r="AM384" s="41" t="str">
        <f>'Gen Rev'!A381</f>
        <v>Matamoras</v>
      </c>
      <c r="AN384" s="21" t="str">
        <f t="shared" si="40"/>
        <v>Matamoras</v>
      </c>
      <c r="AO384" s="21" t="b">
        <f t="shared" si="41"/>
        <v>1</v>
      </c>
    </row>
    <row r="385" spans="1:41" s="21" customFormat="1" ht="12" customHeight="1" x14ac:dyDescent="0.2">
      <c r="A385" s="15" t="s">
        <v>322</v>
      </c>
      <c r="B385" s="15"/>
      <c r="C385" s="15" t="s">
        <v>316</v>
      </c>
      <c r="D385" s="15"/>
      <c r="E385" s="76">
        <v>5349697</v>
      </c>
      <c r="F385" s="76"/>
      <c r="G385" s="76">
        <v>14333</v>
      </c>
      <c r="H385" s="76"/>
      <c r="I385" s="76">
        <v>945859</v>
      </c>
      <c r="J385" s="76"/>
      <c r="K385" s="76">
        <v>360686</v>
      </c>
      <c r="L385" s="76"/>
      <c r="M385" s="76">
        <v>239617</v>
      </c>
      <c r="N385" s="76"/>
      <c r="O385" s="76">
        <v>2033473</v>
      </c>
      <c r="P385" s="76"/>
      <c r="Q385" s="76">
        <v>2539883</v>
      </c>
      <c r="R385" s="76"/>
      <c r="S385" s="76">
        <v>464914</v>
      </c>
      <c r="T385" s="76"/>
      <c r="U385" s="76">
        <v>0</v>
      </c>
      <c r="V385" s="76"/>
      <c r="W385" s="76">
        <v>0</v>
      </c>
      <c r="X385" s="76"/>
      <c r="Y385" s="76">
        <v>1995907</v>
      </c>
      <c r="Z385" s="76"/>
      <c r="AA385" s="76">
        <v>0</v>
      </c>
      <c r="AB385" s="76"/>
      <c r="AC385" s="76">
        <v>0</v>
      </c>
      <c r="AD385" s="76"/>
      <c r="AE385" s="76">
        <f t="shared" si="39"/>
        <v>13944369</v>
      </c>
      <c r="AF385" s="76"/>
      <c r="AG385" s="76">
        <v>4098826</v>
      </c>
      <c r="AH385" s="76"/>
      <c r="AI385" s="76">
        <v>7400124</v>
      </c>
      <c r="AJ385" s="76"/>
      <c r="AK385" s="76">
        <v>11498950</v>
      </c>
      <c r="AL385" s="24">
        <f>+'Gen Rev'!AI382-'Gen Exp'!AE385+'Gen Exp'!AI385-AK385</f>
        <v>0</v>
      </c>
      <c r="AM385" s="41" t="str">
        <f>'Gen Rev'!A382</f>
        <v>Mayfield</v>
      </c>
      <c r="AN385" s="21" t="str">
        <f t="shared" si="40"/>
        <v>Mayfield</v>
      </c>
      <c r="AO385" s="21" t="b">
        <f t="shared" si="41"/>
        <v>1</v>
      </c>
    </row>
    <row r="386" spans="1:41" ht="12" customHeight="1" x14ac:dyDescent="0.2">
      <c r="A386" s="15" t="s">
        <v>302</v>
      </c>
      <c r="B386" s="15"/>
      <c r="C386" s="1" t="s">
        <v>82</v>
      </c>
      <c r="D386" s="23"/>
      <c r="E386" s="76">
        <v>57033.95</v>
      </c>
      <c r="F386" s="76"/>
      <c r="G386" s="76">
        <v>0</v>
      </c>
      <c r="H386" s="76"/>
      <c r="I386" s="76">
        <v>0</v>
      </c>
      <c r="J386" s="76"/>
      <c r="K386" s="76">
        <v>0</v>
      </c>
      <c r="L386" s="76"/>
      <c r="M386" s="76">
        <v>0</v>
      </c>
      <c r="N386" s="76"/>
      <c r="O386" s="76">
        <v>0</v>
      </c>
      <c r="P386" s="76"/>
      <c r="Q386" s="76">
        <v>137290.1</v>
      </c>
      <c r="R386" s="76"/>
      <c r="S386" s="76">
        <v>0</v>
      </c>
      <c r="T386" s="76"/>
      <c r="U386" s="76">
        <v>0</v>
      </c>
      <c r="V386" s="76"/>
      <c r="W386" s="76">
        <v>0</v>
      </c>
      <c r="X386" s="76"/>
      <c r="Y386" s="76">
        <v>0</v>
      </c>
      <c r="Z386" s="76"/>
      <c r="AA386" s="76">
        <v>0</v>
      </c>
      <c r="AB386" s="76"/>
      <c r="AC386" s="76">
        <v>44</v>
      </c>
      <c r="AD386" s="76"/>
      <c r="AE386" s="76">
        <f t="shared" si="39"/>
        <v>194368.05</v>
      </c>
      <c r="AF386" s="76"/>
      <c r="AG386" s="76">
        <v>-9564.73</v>
      </c>
      <c r="AH386" s="76"/>
      <c r="AI386" s="76">
        <v>108740.74</v>
      </c>
      <c r="AJ386" s="76"/>
      <c r="AK386" s="76">
        <v>99176.01</v>
      </c>
      <c r="AL386" s="24">
        <f>+'Gen Rev'!AI386-'Gen Exp'!AE386+'Gen Exp'!AI386-AK386</f>
        <v>0</v>
      </c>
      <c r="AM386" s="41" t="str">
        <f>'Gen Rev'!A386</f>
        <v>McArthur</v>
      </c>
      <c r="AN386" s="21" t="str">
        <f t="shared" si="40"/>
        <v>McArthur</v>
      </c>
      <c r="AO386" s="21" t="b">
        <f t="shared" si="41"/>
        <v>1</v>
      </c>
    </row>
    <row r="387" spans="1:41" ht="12" customHeight="1" x14ac:dyDescent="0.2">
      <c r="A387" s="1" t="s">
        <v>108</v>
      </c>
      <c r="C387" s="1" t="s">
        <v>766</v>
      </c>
      <c r="D387" s="23"/>
      <c r="E387" s="76">
        <v>11159.68</v>
      </c>
      <c r="F387" s="76"/>
      <c r="G387" s="76">
        <v>0</v>
      </c>
      <c r="H387" s="76"/>
      <c r="I387" s="76">
        <v>1674.41</v>
      </c>
      <c r="J387" s="76"/>
      <c r="K387" s="76">
        <v>100</v>
      </c>
      <c r="L387" s="76"/>
      <c r="M387" s="76">
        <v>0</v>
      </c>
      <c r="N387" s="76"/>
      <c r="O387" s="76">
        <v>0</v>
      </c>
      <c r="P387" s="76"/>
      <c r="Q387" s="76">
        <v>86535.19</v>
      </c>
      <c r="R387" s="76"/>
      <c r="S387" s="76">
        <v>0</v>
      </c>
      <c r="T387" s="76"/>
      <c r="U387" s="76">
        <v>4832.5</v>
      </c>
      <c r="V387" s="76"/>
      <c r="W387" s="76">
        <v>3712.7</v>
      </c>
      <c r="X387" s="76"/>
      <c r="Y387" s="76">
        <v>0</v>
      </c>
      <c r="Z387" s="76"/>
      <c r="AA387" s="76">
        <v>0</v>
      </c>
      <c r="AB387" s="76"/>
      <c r="AC387" s="76">
        <v>0</v>
      </c>
      <c r="AD387" s="76"/>
      <c r="AE387" s="76">
        <f t="shared" si="39"/>
        <v>108014.48</v>
      </c>
      <c r="AF387" s="76"/>
      <c r="AG387" s="76">
        <v>35015.82</v>
      </c>
      <c r="AH387" s="76"/>
      <c r="AI387" s="76">
        <v>18315.05</v>
      </c>
      <c r="AJ387" s="76"/>
      <c r="AK387" s="76">
        <v>53330.87</v>
      </c>
      <c r="AL387" s="24">
        <f>+'Gen Rev'!AI387-'Gen Exp'!AE387+'Gen Exp'!AI387-AK387</f>
        <v>0</v>
      </c>
      <c r="AM387" s="41" t="str">
        <f>'Gen Rev'!A387</f>
        <v>Mcclure</v>
      </c>
      <c r="AN387" s="21" t="str">
        <f t="shared" si="40"/>
        <v>Mcclure</v>
      </c>
      <c r="AO387" s="21" t="b">
        <f t="shared" si="41"/>
        <v>1</v>
      </c>
    </row>
    <row r="388" spans="1:41" ht="12" customHeight="1" x14ac:dyDescent="0.2">
      <c r="A388" s="1" t="s">
        <v>389</v>
      </c>
      <c r="C388" s="1" t="s">
        <v>388</v>
      </c>
      <c r="E388" s="76">
        <v>232568</v>
      </c>
      <c r="F388" s="76"/>
      <c r="G388" s="76">
        <v>41342</v>
      </c>
      <c r="H388" s="76"/>
      <c r="I388" s="76">
        <v>83957</v>
      </c>
      <c r="J388" s="76"/>
      <c r="K388" s="76">
        <v>2925</v>
      </c>
      <c r="L388" s="76"/>
      <c r="M388" s="76">
        <v>1620</v>
      </c>
      <c r="N388" s="76"/>
      <c r="O388" s="76">
        <v>270581</v>
      </c>
      <c r="P388" s="76"/>
      <c r="Q388" s="76">
        <v>264085</v>
      </c>
      <c r="R388" s="76"/>
      <c r="S388" s="76">
        <v>58746</v>
      </c>
      <c r="T388" s="76"/>
      <c r="U388" s="76">
        <v>42793</v>
      </c>
      <c r="V388" s="76"/>
      <c r="W388" s="76">
        <v>22339</v>
      </c>
      <c r="X388" s="76"/>
      <c r="Y388" s="76">
        <v>20457</v>
      </c>
      <c r="Z388" s="76"/>
      <c r="AA388" s="76">
        <v>0</v>
      </c>
      <c r="AB388" s="76"/>
      <c r="AC388" s="76">
        <v>0</v>
      </c>
      <c r="AD388" s="76"/>
      <c r="AE388" s="76">
        <f t="shared" si="39"/>
        <v>1041413</v>
      </c>
      <c r="AF388" s="76"/>
      <c r="AG388" s="76">
        <v>-114579</v>
      </c>
      <c r="AH388" s="76"/>
      <c r="AI388" s="76">
        <v>646176</v>
      </c>
      <c r="AJ388" s="76"/>
      <c r="AK388" s="76">
        <v>531597</v>
      </c>
      <c r="AL388" s="24">
        <f>+'Gen Rev'!AI388-'Gen Exp'!AE388+'Gen Exp'!AI388-AK388</f>
        <v>0</v>
      </c>
      <c r="AM388" s="41" t="str">
        <f>'Gen Rev'!A388</f>
        <v>McComb</v>
      </c>
      <c r="AN388" s="21" t="str">
        <f t="shared" si="40"/>
        <v>McComb</v>
      </c>
      <c r="AO388" s="21" t="b">
        <f t="shared" si="41"/>
        <v>1</v>
      </c>
    </row>
    <row r="389" spans="1:41" ht="12" customHeight="1" x14ac:dyDescent="0.2">
      <c r="A389" s="1" t="s">
        <v>168</v>
      </c>
      <c r="C389" s="1" t="s">
        <v>787</v>
      </c>
      <c r="E389" s="76">
        <v>350664.89</v>
      </c>
      <c r="F389" s="76"/>
      <c r="G389" s="76">
        <v>10064.41</v>
      </c>
      <c r="H389" s="76"/>
      <c r="I389" s="76">
        <v>127305.3</v>
      </c>
      <c r="J389" s="76"/>
      <c r="K389" s="76">
        <v>0</v>
      </c>
      <c r="L389" s="76"/>
      <c r="M389" s="76">
        <v>0</v>
      </c>
      <c r="N389" s="76"/>
      <c r="O389" s="76">
        <v>14554.48</v>
      </c>
      <c r="P389" s="76"/>
      <c r="Q389" s="76">
        <v>240808.91</v>
      </c>
      <c r="R389" s="76"/>
      <c r="S389" s="76">
        <v>0</v>
      </c>
      <c r="T389" s="76"/>
      <c r="U389" s="76">
        <v>3845</v>
      </c>
      <c r="V389" s="76"/>
      <c r="W389" s="76">
        <v>458.44</v>
      </c>
      <c r="X389" s="76"/>
      <c r="Y389" s="76">
        <v>2.1</v>
      </c>
      <c r="Z389" s="76"/>
      <c r="AA389" s="76">
        <v>0</v>
      </c>
      <c r="AB389" s="76"/>
      <c r="AC389" s="76">
        <v>196.34</v>
      </c>
      <c r="AD389" s="76"/>
      <c r="AE389" s="76">
        <f t="shared" si="39"/>
        <v>747899.86999999988</v>
      </c>
      <c r="AF389" s="76"/>
      <c r="AG389" s="76">
        <v>-10917.9</v>
      </c>
      <c r="AH389" s="76"/>
      <c r="AI389" s="76">
        <v>277572.28000000003</v>
      </c>
      <c r="AJ389" s="76"/>
      <c r="AK389" s="76">
        <v>266654.38</v>
      </c>
      <c r="AL389" s="24">
        <f>+'Gen Rev'!AI389-'Gen Exp'!AE389+'Gen Exp'!AI389-AK389</f>
        <v>0</v>
      </c>
      <c r="AM389" s="41" t="str">
        <f>'Gen Rev'!A389</f>
        <v>Mcconnelsville</v>
      </c>
      <c r="AN389" s="21" t="str">
        <f t="shared" si="40"/>
        <v>Mcconnelsville</v>
      </c>
      <c r="AO389" s="21" t="b">
        <f t="shared" si="41"/>
        <v>1</v>
      </c>
    </row>
    <row r="390" spans="1:41" ht="12" customHeight="1" x14ac:dyDescent="0.2">
      <c r="A390" s="1" t="s">
        <v>558</v>
      </c>
      <c r="C390" s="1" t="s">
        <v>557</v>
      </c>
      <c r="E390" s="76">
        <v>472800</v>
      </c>
      <c r="F390" s="76"/>
      <c r="G390" s="76">
        <v>5000</v>
      </c>
      <c r="H390" s="76"/>
      <c r="I390" s="76">
        <v>21200</v>
      </c>
      <c r="J390" s="76"/>
      <c r="K390" s="76">
        <v>6750</v>
      </c>
      <c r="L390" s="76"/>
      <c r="M390" s="76">
        <v>125000</v>
      </c>
      <c r="N390" s="76"/>
      <c r="O390" s="76">
        <v>2000</v>
      </c>
      <c r="P390" s="76"/>
      <c r="Q390" s="76">
        <f>422712-1</f>
        <v>422711</v>
      </c>
      <c r="R390" s="76"/>
      <c r="S390" s="76">
        <v>0</v>
      </c>
      <c r="T390" s="76"/>
      <c r="U390" s="76">
        <v>0</v>
      </c>
      <c r="V390" s="76"/>
      <c r="W390" s="76">
        <v>0</v>
      </c>
      <c r="X390" s="76"/>
      <c r="Y390" s="76">
        <v>0</v>
      </c>
      <c r="Z390" s="76"/>
      <c r="AA390" s="76">
        <v>0</v>
      </c>
      <c r="AB390" s="76"/>
      <c r="AC390" s="76">
        <v>0</v>
      </c>
      <c r="AD390" s="76"/>
      <c r="AE390" s="76">
        <f t="shared" si="39"/>
        <v>1055461</v>
      </c>
      <c r="AF390" s="76"/>
      <c r="AG390" s="76">
        <v>-12398</v>
      </c>
      <c r="AH390" s="76"/>
      <c r="AI390" s="76">
        <v>33454</v>
      </c>
      <c r="AJ390" s="76"/>
      <c r="AK390" s="76">
        <v>21056</v>
      </c>
      <c r="AL390" s="24">
        <f>+'Gen Rev'!AI390-'Gen Exp'!AE390+'Gen Exp'!AI390-AK390</f>
        <v>0</v>
      </c>
      <c r="AM390" s="41" t="str">
        <f>'Gen Rev'!A390</f>
        <v>McDonald</v>
      </c>
      <c r="AN390" s="21" t="str">
        <f t="shared" si="40"/>
        <v>McDonald</v>
      </c>
      <c r="AO390" s="21" t="b">
        <f t="shared" si="41"/>
        <v>1</v>
      </c>
    </row>
    <row r="391" spans="1:41" ht="12" customHeight="1" x14ac:dyDescent="0.2">
      <c r="A391" s="1" t="s">
        <v>399</v>
      </c>
      <c r="C391" s="1" t="s">
        <v>396</v>
      </c>
      <c r="E391" s="76">
        <v>39141</v>
      </c>
      <c r="F391" s="76"/>
      <c r="G391" s="76">
        <v>1454</v>
      </c>
      <c r="H391" s="76"/>
      <c r="I391" s="76">
        <v>220</v>
      </c>
      <c r="J391" s="76"/>
      <c r="K391" s="76">
        <v>0</v>
      </c>
      <c r="L391" s="76"/>
      <c r="M391" s="76">
        <v>1265</v>
      </c>
      <c r="N391" s="76"/>
      <c r="O391" s="76">
        <v>9466</v>
      </c>
      <c r="P391" s="76"/>
      <c r="Q391" s="76">
        <v>27500</v>
      </c>
      <c r="R391" s="76"/>
      <c r="S391" s="76">
        <v>0</v>
      </c>
      <c r="T391" s="76"/>
      <c r="U391" s="76">
        <v>0</v>
      </c>
      <c r="V391" s="76"/>
      <c r="W391" s="76">
        <v>0</v>
      </c>
      <c r="X391" s="76"/>
      <c r="Y391" s="76">
        <v>0</v>
      </c>
      <c r="Z391" s="76"/>
      <c r="AA391" s="76">
        <v>0</v>
      </c>
      <c r="AB391" s="76"/>
      <c r="AC391" s="76">
        <v>0</v>
      </c>
      <c r="AD391" s="76"/>
      <c r="AE391" s="76">
        <f t="shared" si="39"/>
        <v>79046</v>
      </c>
      <c r="AF391" s="76"/>
      <c r="AG391" s="76">
        <v>49119</v>
      </c>
      <c r="AH391" s="76"/>
      <c r="AI391" s="76">
        <v>84018</v>
      </c>
      <c r="AJ391" s="76"/>
      <c r="AK391" s="76">
        <v>133136</v>
      </c>
      <c r="AL391" s="24">
        <f>+'Gen Rev'!AI391-'Gen Exp'!AE391+'Gen Exp'!AI391-AK391</f>
        <v>0</v>
      </c>
      <c r="AM391" s="41" t="str">
        <f>'Gen Rev'!A391</f>
        <v>Mcguffey</v>
      </c>
      <c r="AN391" s="21" t="str">
        <f t="shared" si="40"/>
        <v>Mcguffey</v>
      </c>
      <c r="AO391" s="21" t="b">
        <f t="shared" si="41"/>
        <v>1</v>
      </c>
    </row>
    <row r="392" spans="1:41" ht="12" hidden="1" customHeight="1" x14ac:dyDescent="0.2">
      <c r="A392" s="1" t="s">
        <v>286</v>
      </c>
      <c r="C392" s="1" t="s">
        <v>287</v>
      </c>
      <c r="D392" s="21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>
        <f t="shared" si="39"/>
        <v>0</v>
      </c>
      <c r="AF392" s="76"/>
      <c r="AG392" s="76"/>
      <c r="AH392" s="76"/>
      <c r="AI392" s="76"/>
      <c r="AJ392" s="76"/>
      <c r="AK392" s="76"/>
      <c r="AL392" s="24">
        <f>+'Gen Rev'!AI392-'Gen Exp'!AE392+'Gen Exp'!AI392-AK392</f>
        <v>0</v>
      </c>
      <c r="AM392" s="41" t="str">
        <f>'Gen Rev'!A392</f>
        <v>Mechanicsburg</v>
      </c>
      <c r="AN392" s="21" t="str">
        <f t="shared" si="40"/>
        <v>Mechanicsburg</v>
      </c>
      <c r="AO392" s="21" t="b">
        <f t="shared" si="41"/>
        <v>1</v>
      </c>
    </row>
    <row r="393" spans="1:41" ht="12" customHeight="1" x14ac:dyDescent="0.2">
      <c r="A393" s="1" t="s">
        <v>185</v>
      </c>
      <c r="C393" s="1" t="s">
        <v>792</v>
      </c>
      <c r="D393" s="23"/>
      <c r="E393" s="76">
        <v>1429.99</v>
      </c>
      <c r="F393" s="76"/>
      <c r="G393" s="76">
        <v>0</v>
      </c>
      <c r="H393" s="76"/>
      <c r="I393" s="76">
        <v>0</v>
      </c>
      <c r="J393" s="76"/>
      <c r="K393" s="76">
        <v>0</v>
      </c>
      <c r="L393" s="76"/>
      <c r="M393" s="76">
        <v>0</v>
      </c>
      <c r="N393" s="76"/>
      <c r="O393" s="76">
        <v>0</v>
      </c>
      <c r="P393" s="76"/>
      <c r="Q393" s="76">
        <v>21554.47</v>
      </c>
      <c r="R393" s="76"/>
      <c r="S393" s="76">
        <v>0</v>
      </c>
      <c r="T393" s="76"/>
      <c r="U393" s="76">
        <v>0</v>
      </c>
      <c r="V393" s="76"/>
      <c r="W393" s="76">
        <v>0</v>
      </c>
      <c r="X393" s="76"/>
      <c r="Y393" s="76">
        <v>0</v>
      </c>
      <c r="Z393" s="76"/>
      <c r="AA393" s="76">
        <v>0</v>
      </c>
      <c r="AB393" s="76"/>
      <c r="AC393" s="76">
        <v>0</v>
      </c>
      <c r="AD393" s="76"/>
      <c r="AE393" s="76">
        <f t="shared" si="39"/>
        <v>22984.460000000003</v>
      </c>
      <c r="AF393" s="76"/>
      <c r="AG393" s="76">
        <v>14904.63</v>
      </c>
      <c r="AH393" s="76"/>
      <c r="AI393" s="76">
        <v>17649.93</v>
      </c>
      <c r="AJ393" s="76"/>
      <c r="AK393" s="76">
        <v>32554.560000000001</v>
      </c>
      <c r="AL393" s="24">
        <f>+'Gen Rev'!AI393-'Gen Exp'!AE393+'Gen Exp'!AI393-AK393</f>
        <v>0</v>
      </c>
      <c r="AM393" s="41" t="str">
        <f>'Gen Rev'!A393</f>
        <v>Melrose</v>
      </c>
      <c r="AN393" s="21" t="str">
        <f t="shared" si="40"/>
        <v>Melrose</v>
      </c>
      <c r="AO393" s="21" t="b">
        <f t="shared" si="41"/>
        <v>1</v>
      </c>
    </row>
    <row r="394" spans="1:41" s="21" customFormat="1" ht="12" customHeight="1" x14ac:dyDescent="0.2">
      <c r="A394" s="1" t="s">
        <v>834</v>
      </c>
      <c r="B394" s="1"/>
      <c r="C394" s="1" t="s">
        <v>783</v>
      </c>
      <c r="D394" s="1"/>
      <c r="E394" s="76">
        <v>11002.11</v>
      </c>
      <c r="F394" s="76"/>
      <c r="G394" s="76">
        <v>0</v>
      </c>
      <c r="H394" s="76"/>
      <c r="I394" s="76">
        <v>0</v>
      </c>
      <c r="J394" s="76"/>
      <c r="K394" s="76">
        <v>0</v>
      </c>
      <c r="L394" s="76"/>
      <c r="M394" s="76">
        <v>0</v>
      </c>
      <c r="N394" s="76"/>
      <c r="O394" s="76">
        <v>8181.83</v>
      </c>
      <c r="P394" s="76"/>
      <c r="Q394" s="76">
        <v>23692.98</v>
      </c>
      <c r="R394" s="76"/>
      <c r="S394" s="76">
        <v>223.63</v>
      </c>
      <c r="T394" s="76"/>
      <c r="U394" s="76">
        <v>0</v>
      </c>
      <c r="V394" s="76"/>
      <c r="W394" s="76">
        <v>0</v>
      </c>
      <c r="X394" s="76"/>
      <c r="Y394" s="76">
        <v>0</v>
      </c>
      <c r="Z394" s="76"/>
      <c r="AA394" s="76">
        <v>0</v>
      </c>
      <c r="AB394" s="76"/>
      <c r="AC394" s="76">
        <v>0</v>
      </c>
      <c r="AD394" s="76"/>
      <c r="AE394" s="76">
        <f t="shared" si="39"/>
        <v>43100.549999999996</v>
      </c>
      <c r="AF394" s="76"/>
      <c r="AG394" s="76">
        <v>3541.26</v>
      </c>
      <c r="AH394" s="76"/>
      <c r="AI394" s="76">
        <v>9254.76</v>
      </c>
      <c r="AJ394" s="76"/>
      <c r="AK394" s="76">
        <v>12796.02</v>
      </c>
      <c r="AL394" s="24">
        <f>+'Gen Rev'!AI394-'Gen Exp'!AE394+'Gen Exp'!AI394-AK394</f>
        <v>0</v>
      </c>
      <c r="AM394" s="41" t="str">
        <f>'Gen Rev'!A394</f>
        <v>Mendon</v>
      </c>
      <c r="AN394" s="21" t="str">
        <f t="shared" si="40"/>
        <v>Mendon</v>
      </c>
      <c r="AO394" s="21" t="b">
        <f t="shared" si="41"/>
        <v>1</v>
      </c>
    </row>
    <row r="395" spans="1:41" ht="12" customHeight="1" x14ac:dyDescent="0.2">
      <c r="A395" s="1" t="s">
        <v>361</v>
      </c>
      <c r="C395" s="1" t="s">
        <v>358</v>
      </c>
      <c r="E395" s="76">
        <v>14397</v>
      </c>
      <c r="F395" s="76"/>
      <c r="G395" s="76">
        <v>0</v>
      </c>
      <c r="H395" s="76"/>
      <c r="I395" s="76">
        <v>23916</v>
      </c>
      <c r="J395" s="76"/>
      <c r="K395" s="76">
        <v>11597</v>
      </c>
      <c r="L395" s="76"/>
      <c r="M395" s="76">
        <v>0</v>
      </c>
      <c r="N395" s="76"/>
      <c r="O395" s="76">
        <v>0</v>
      </c>
      <c r="P395" s="76"/>
      <c r="Q395" s="76">
        <v>155790</v>
      </c>
      <c r="R395" s="76"/>
      <c r="S395" s="76">
        <f>25024-1</f>
        <v>25023</v>
      </c>
      <c r="T395" s="76"/>
      <c r="U395" s="76">
        <v>0</v>
      </c>
      <c r="V395" s="76"/>
      <c r="W395" s="76">
        <v>0</v>
      </c>
      <c r="X395" s="76"/>
      <c r="Y395" s="76">
        <v>80000</v>
      </c>
      <c r="Z395" s="76"/>
      <c r="AA395" s="76">
        <v>0</v>
      </c>
      <c r="AB395" s="76"/>
      <c r="AC395" s="76">
        <v>0</v>
      </c>
      <c r="AD395" s="76"/>
      <c r="AE395" s="76">
        <f t="shared" si="39"/>
        <v>310723</v>
      </c>
      <c r="AF395" s="76"/>
      <c r="AG395" s="76">
        <v>24329</v>
      </c>
      <c r="AH395" s="76"/>
      <c r="AI395" s="76">
        <v>144376</v>
      </c>
      <c r="AJ395" s="76"/>
      <c r="AK395" s="76">
        <v>168705</v>
      </c>
      <c r="AL395" s="24">
        <f>+'Gen Rev'!AI395-'Gen Exp'!AE395+'Gen Exp'!AI395-AK395</f>
        <v>0</v>
      </c>
      <c r="AM395" s="41" t="str">
        <f>'Gen Rev'!A395</f>
        <v>Metamora</v>
      </c>
      <c r="AN395" s="21" t="str">
        <f t="shared" si="40"/>
        <v>Metamora</v>
      </c>
      <c r="AO395" s="21" t="b">
        <f t="shared" si="41"/>
        <v>1</v>
      </c>
    </row>
    <row r="396" spans="1:41" s="21" customFormat="1" ht="12" customHeight="1" x14ac:dyDescent="0.2">
      <c r="A396" s="1" t="s">
        <v>227</v>
      </c>
      <c r="B396" s="1"/>
      <c r="C396" s="1" t="s">
        <v>804</v>
      </c>
      <c r="D396" s="23"/>
      <c r="E396" s="76">
        <v>13958.11</v>
      </c>
      <c r="F396" s="76"/>
      <c r="G396" s="76">
        <v>5211</v>
      </c>
      <c r="H396" s="76"/>
      <c r="I396" s="76">
        <v>0</v>
      </c>
      <c r="J396" s="76"/>
      <c r="K396" s="76">
        <v>24279.21</v>
      </c>
      <c r="L396" s="76"/>
      <c r="M396" s="76">
        <v>18860.400000000001</v>
      </c>
      <c r="N396" s="76"/>
      <c r="O396" s="76">
        <v>0</v>
      </c>
      <c r="P396" s="76"/>
      <c r="Q396" s="76">
        <v>68056.399999999994</v>
      </c>
      <c r="R396" s="76"/>
      <c r="S396" s="76">
        <v>180</v>
      </c>
      <c r="T396" s="76"/>
      <c r="U396" s="76">
        <v>0</v>
      </c>
      <c r="V396" s="76"/>
      <c r="W396" s="76">
        <v>0</v>
      </c>
      <c r="X396" s="76"/>
      <c r="Y396" s="76">
        <v>0</v>
      </c>
      <c r="Z396" s="76"/>
      <c r="AA396" s="76">
        <v>0</v>
      </c>
      <c r="AB396" s="76"/>
      <c r="AC396" s="76">
        <v>218.5</v>
      </c>
      <c r="AD396" s="76"/>
      <c r="AE396" s="76">
        <f t="shared" si="39"/>
        <v>130763.62</v>
      </c>
      <c r="AF396" s="76"/>
      <c r="AG396" s="76">
        <v>-13929.14</v>
      </c>
      <c r="AH396" s="76"/>
      <c r="AI396" s="76">
        <v>293068.59999999998</v>
      </c>
      <c r="AJ396" s="76"/>
      <c r="AK396" s="76">
        <v>279139.46000000002</v>
      </c>
      <c r="AL396" s="24">
        <f>+'Gen Rev'!AI396-'Gen Exp'!AE396+'Gen Exp'!AI396-AK396</f>
        <v>0</v>
      </c>
      <c r="AM396" s="41" t="str">
        <f>'Gen Rev'!A396</f>
        <v>Meyers Lake</v>
      </c>
      <c r="AN396" s="21" t="str">
        <f t="shared" si="40"/>
        <v>Meyers Lake</v>
      </c>
      <c r="AO396" s="21" t="b">
        <f t="shared" si="41"/>
        <v>1</v>
      </c>
    </row>
    <row r="397" spans="1:41" ht="12" customHeight="1" x14ac:dyDescent="0.2">
      <c r="A397" s="1" t="s">
        <v>929</v>
      </c>
      <c r="C397" s="1" t="s">
        <v>572</v>
      </c>
      <c r="E397" s="76">
        <v>9735.59</v>
      </c>
      <c r="F397" s="76"/>
      <c r="G397" s="76">
        <v>3559.6</v>
      </c>
      <c r="H397" s="76"/>
      <c r="I397" s="76">
        <v>0</v>
      </c>
      <c r="J397" s="76"/>
      <c r="K397" s="76">
        <v>12566.31</v>
      </c>
      <c r="L397" s="76"/>
      <c r="M397" s="76">
        <v>0</v>
      </c>
      <c r="N397" s="76"/>
      <c r="O397" s="76">
        <v>0</v>
      </c>
      <c r="P397" s="76"/>
      <c r="Q397" s="76">
        <v>62301.25</v>
      </c>
      <c r="R397" s="76"/>
      <c r="S397" s="76">
        <v>900</v>
      </c>
      <c r="T397" s="76"/>
      <c r="U397" s="76">
        <v>0</v>
      </c>
      <c r="V397" s="76"/>
      <c r="W397" s="76">
        <v>0</v>
      </c>
      <c r="X397" s="76"/>
      <c r="Y397" s="76">
        <v>10607.87</v>
      </c>
      <c r="Z397" s="76"/>
      <c r="AA397" s="76">
        <v>5000</v>
      </c>
      <c r="AB397" s="76"/>
      <c r="AC397" s="76">
        <v>0</v>
      </c>
      <c r="AD397" s="76"/>
      <c r="AE397" s="76">
        <f t="shared" ref="AE397:AE431" si="42">SUM(E397:AC397)</f>
        <v>104670.62</v>
      </c>
      <c r="AF397" s="76"/>
      <c r="AG397" s="76">
        <v>30022.92</v>
      </c>
      <c r="AH397" s="76"/>
      <c r="AI397" s="76">
        <v>92724.78</v>
      </c>
      <c r="AJ397" s="76"/>
      <c r="AK397" s="76">
        <v>122747.7</v>
      </c>
      <c r="AL397" s="24">
        <f>+'Gen Rev'!AI397-'Gen Exp'!AE397+'Gen Exp'!AI397-AK397</f>
        <v>0</v>
      </c>
      <c r="AM397" s="41" t="str">
        <f>'Gen Rev'!A397</f>
        <v>Middle Point</v>
      </c>
      <c r="AN397" s="21" t="str">
        <f t="shared" ref="AN397:AN431" si="43">A397</f>
        <v>Middle Point</v>
      </c>
      <c r="AO397" s="21" t="b">
        <f t="shared" ref="AO397:AO428" si="44">AM397=AN397</f>
        <v>1</v>
      </c>
    </row>
    <row r="398" spans="1:41" ht="12" customHeight="1" x14ac:dyDescent="0.2">
      <c r="A398" s="1" t="s">
        <v>367</v>
      </c>
      <c r="C398" s="1" t="s">
        <v>368</v>
      </c>
      <c r="E398" s="76">
        <v>939594</v>
      </c>
      <c r="F398" s="76"/>
      <c r="G398" s="76">
        <v>0</v>
      </c>
      <c r="H398" s="76"/>
      <c r="I398" s="76">
        <v>109588</v>
      </c>
      <c r="J398" s="76"/>
      <c r="K398" s="76">
        <v>60213</v>
      </c>
      <c r="L398" s="76"/>
      <c r="M398" s="76">
        <v>0</v>
      </c>
      <c r="N398" s="76"/>
      <c r="O398" s="76">
        <v>14508</v>
      </c>
      <c r="P398" s="76"/>
      <c r="Q398" s="76">
        <v>416862</v>
      </c>
      <c r="R398" s="76"/>
      <c r="S398" s="76">
        <v>0</v>
      </c>
      <c r="T398" s="76"/>
      <c r="U398" s="76">
        <v>0</v>
      </c>
      <c r="V398" s="76"/>
      <c r="W398" s="76">
        <v>0</v>
      </c>
      <c r="X398" s="76"/>
      <c r="Y398" s="76">
        <v>16500</v>
      </c>
      <c r="Z398" s="76"/>
      <c r="AA398" s="76">
        <v>0</v>
      </c>
      <c r="AB398" s="76"/>
      <c r="AC398" s="76">
        <v>0</v>
      </c>
      <c r="AD398" s="76"/>
      <c r="AE398" s="76">
        <f t="shared" si="42"/>
        <v>1557265</v>
      </c>
      <c r="AF398" s="76"/>
      <c r="AG398" s="76">
        <v>-45017</v>
      </c>
      <c r="AH398" s="76"/>
      <c r="AI398" s="76">
        <v>199691</v>
      </c>
      <c r="AJ398" s="76"/>
      <c r="AK398" s="76">
        <v>154674</v>
      </c>
      <c r="AL398" s="24">
        <f>+'Gen Rev'!AI398-'Gen Exp'!AE398+'Gen Exp'!AI398-AK398</f>
        <v>0</v>
      </c>
      <c r="AM398" s="41" t="str">
        <f>'Gen Rev'!A398</f>
        <v>Middlefield</v>
      </c>
      <c r="AN398" s="21" t="str">
        <f t="shared" si="43"/>
        <v>Middlefield</v>
      </c>
      <c r="AO398" s="21" t="b">
        <f t="shared" si="44"/>
        <v>1</v>
      </c>
    </row>
    <row r="399" spans="1:41" ht="12" customHeight="1" x14ac:dyDescent="0.2">
      <c r="A399" s="1" t="s">
        <v>156</v>
      </c>
      <c r="C399" s="1" t="s">
        <v>464</v>
      </c>
      <c r="D399" s="49"/>
      <c r="E399" s="76">
        <v>578318.24</v>
      </c>
      <c r="F399" s="76"/>
      <c r="G399" s="76">
        <v>0</v>
      </c>
      <c r="H399" s="76"/>
      <c r="I399" s="76">
        <v>0</v>
      </c>
      <c r="J399" s="76"/>
      <c r="K399" s="76">
        <v>0</v>
      </c>
      <c r="L399" s="76"/>
      <c r="M399" s="76">
        <v>0</v>
      </c>
      <c r="N399" s="76"/>
      <c r="O399" s="76">
        <v>0</v>
      </c>
      <c r="P399" s="76"/>
      <c r="Q399" s="76">
        <v>149847.72</v>
      </c>
      <c r="R399" s="76"/>
      <c r="S399" s="76">
        <v>0</v>
      </c>
      <c r="T399" s="76"/>
      <c r="U399" s="76">
        <v>15568.2</v>
      </c>
      <c r="V399" s="76"/>
      <c r="W399" s="76">
        <v>12276.88</v>
      </c>
      <c r="X399" s="76"/>
      <c r="Y399" s="76">
        <v>0</v>
      </c>
      <c r="Z399" s="76"/>
      <c r="AA399" s="76">
        <v>0</v>
      </c>
      <c r="AB399" s="76"/>
      <c r="AC399" s="76">
        <v>0</v>
      </c>
      <c r="AD399" s="76"/>
      <c r="AE399" s="76">
        <f t="shared" si="42"/>
        <v>756011.03999999992</v>
      </c>
      <c r="AF399" s="76"/>
      <c r="AG399" s="76">
        <v>-38959.15</v>
      </c>
      <c r="AH399" s="76"/>
      <c r="AI399" s="76">
        <v>57813.01</v>
      </c>
      <c r="AJ399" s="76"/>
      <c r="AK399" s="76">
        <v>18853.86</v>
      </c>
      <c r="AL399" s="24">
        <f>+'Gen Rev'!AI399-'Gen Exp'!AE399+'Gen Exp'!AI399-AK399</f>
        <v>9.4587448984384537E-11</v>
      </c>
      <c r="AM399" s="41" t="str">
        <f>'Gen Rev'!A399</f>
        <v>Middleport</v>
      </c>
      <c r="AN399" s="21" t="str">
        <f t="shared" si="43"/>
        <v>Middleport</v>
      </c>
      <c r="AO399" s="21" t="b">
        <f t="shared" si="44"/>
        <v>1</v>
      </c>
    </row>
    <row r="400" spans="1:41" ht="12" customHeight="1" x14ac:dyDescent="0.2">
      <c r="A400" s="1" t="s">
        <v>891</v>
      </c>
      <c r="C400" s="1" t="s">
        <v>299</v>
      </c>
      <c r="D400" s="23"/>
      <c r="E400" s="76">
        <v>2605.5700000000002</v>
      </c>
      <c r="F400" s="76"/>
      <c r="G400" s="76">
        <v>0</v>
      </c>
      <c r="H400" s="76"/>
      <c r="I400" s="76">
        <v>0</v>
      </c>
      <c r="J400" s="76"/>
      <c r="K400" s="76">
        <v>0</v>
      </c>
      <c r="L400" s="76"/>
      <c r="M400" s="76">
        <v>519.14</v>
      </c>
      <c r="N400" s="76"/>
      <c r="O400" s="76">
        <v>0</v>
      </c>
      <c r="P400" s="76"/>
      <c r="Q400" s="76">
        <v>21841.05</v>
      </c>
      <c r="R400" s="76"/>
      <c r="S400" s="76">
        <v>0</v>
      </c>
      <c r="T400" s="76"/>
      <c r="U400" s="76">
        <v>0</v>
      </c>
      <c r="V400" s="76"/>
      <c r="W400" s="76">
        <v>0</v>
      </c>
      <c r="X400" s="76"/>
      <c r="Y400" s="76">
        <v>0</v>
      </c>
      <c r="Z400" s="76"/>
      <c r="AA400" s="76">
        <v>0</v>
      </c>
      <c r="AB400" s="76"/>
      <c r="AC400" s="76">
        <v>0</v>
      </c>
      <c r="AD400" s="76"/>
      <c r="AE400" s="76">
        <f t="shared" si="42"/>
        <v>24965.759999999998</v>
      </c>
      <c r="AF400" s="76"/>
      <c r="AG400" s="76">
        <v>2471.04</v>
      </c>
      <c r="AH400" s="76"/>
      <c r="AI400" s="76">
        <v>5821.12</v>
      </c>
      <c r="AJ400" s="76"/>
      <c r="AK400" s="76">
        <v>8292.16</v>
      </c>
      <c r="AL400" s="24">
        <f>+'Gen Rev'!AI400-'Gen Exp'!AE400+'Gen Exp'!AI400-AK400</f>
        <v>0</v>
      </c>
      <c r="AM400" s="41" t="str">
        <f>'Gen Rev'!A400</f>
        <v>Midland</v>
      </c>
      <c r="AN400" s="21" t="str">
        <f t="shared" si="43"/>
        <v>Midland</v>
      </c>
      <c r="AO400" s="21" t="b">
        <f t="shared" si="44"/>
        <v>1</v>
      </c>
    </row>
    <row r="401" spans="1:41" s="21" customFormat="1" ht="12" customHeight="1" x14ac:dyDescent="0.2">
      <c r="A401" s="1" t="s">
        <v>233</v>
      </c>
      <c r="B401" s="1"/>
      <c r="C401" s="1" t="s">
        <v>806</v>
      </c>
      <c r="D401" s="23"/>
      <c r="E401" s="76">
        <v>53655.32</v>
      </c>
      <c r="F401" s="76"/>
      <c r="G401" s="76">
        <v>0</v>
      </c>
      <c r="H401" s="76"/>
      <c r="I401" s="76">
        <v>8210.25</v>
      </c>
      <c r="J401" s="76"/>
      <c r="K401" s="76">
        <v>0</v>
      </c>
      <c r="L401" s="76"/>
      <c r="M401" s="76">
        <v>2490.0100000000002</v>
      </c>
      <c r="N401" s="76"/>
      <c r="O401" s="76">
        <v>0</v>
      </c>
      <c r="P401" s="76"/>
      <c r="Q401" s="76">
        <v>164699.32999999999</v>
      </c>
      <c r="R401" s="76"/>
      <c r="S401" s="76">
        <v>0</v>
      </c>
      <c r="T401" s="76"/>
      <c r="U401" s="76">
        <v>0</v>
      </c>
      <c r="V401" s="76"/>
      <c r="W401" s="76">
        <v>0</v>
      </c>
      <c r="X401" s="76"/>
      <c r="Y401" s="76">
        <v>0</v>
      </c>
      <c r="Z401" s="76"/>
      <c r="AA401" s="76">
        <v>0</v>
      </c>
      <c r="AB401" s="76"/>
      <c r="AC401" s="76">
        <v>0</v>
      </c>
      <c r="AD401" s="76"/>
      <c r="AE401" s="76">
        <f t="shared" si="42"/>
        <v>229054.90999999997</v>
      </c>
      <c r="AF401" s="76"/>
      <c r="AG401" s="76">
        <v>86685.34</v>
      </c>
      <c r="AH401" s="76"/>
      <c r="AI401" s="76">
        <v>31109.119999999999</v>
      </c>
      <c r="AJ401" s="76"/>
      <c r="AK401" s="76">
        <v>117794.46</v>
      </c>
      <c r="AL401" s="24">
        <f>+'Gen Rev'!AI401-'Gen Exp'!AE401+'Gen Exp'!AI401-AK401</f>
        <v>0</v>
      </c>
      <c r="AM401" s="41" t="str">
        <f>'Gen Rev'!A401</f>
        <v>Midvale</v>
      </c>
      <c r="AN401" s="21" t="str">
        <f t="shared" si="43"/>
        <v>Midvale</v>
      </c>
      <c r="AO401" s="21" t="b">
        <f t="shared" si="44"/>
        <v>1</v>
      </c>
    </row>
    <row r="402" spans="1:41" ht="12" customHeight="1" x14ac:dyDescent="0.2">
      <c r="A402" s="1" t="s">
        <v>459</v>
      </c>
      <c r="C402" s="1" t="s">
        <v>432</v>
      </c>
      <c r="E402" s="76">
        <v>0</v>
      </c>
      <c r="F402" s="76"/>
      <c r="G402" s="76">
        <v>0</v>
      </c>
      <c r="H402" s="76"/>
      <c r="I402" s="76">
        <v>4823</v>
      </c>
      <c r="J402" s="76"/>
      <c r="K402" s="76">
        <v>0</v>
      </c>
      <c r="L402" s="76"/>
      <c r="M402" s="76">
        <v>2534</v>
      </c>
      <c r="N402" s="76"/>
      <c r="O402" s="76">
        <v>5439</v>
      </c>
      <c r="P402" s="76"/>
      <c r="Q402" s="76">
        <v>21677</v>
      </c>
      <c r="R402" s="76"/>
      <c r="S402" s="76">
        <v>0</v>
      </c>
      <c r="T402" s="76"/>
      <c r="U402" s="76">
        <v>0</v>
      </c>
      <c r="V402" s="76"/>
      <c r="W402" s="76">
        <v>0</v>
      </c>
      <c r="X402" s="76"/>
      <c r="Y402" s="76">
        <v>0</v>
      </c>
      <c r="Z402" s="76"/>
      <c r="AA402" s="76">
        <v>0</v>
      </c>
      <c r="AB402" s="76"/>
      <c r="AC402" s="76">
        <v>0</v>
      </c>
      <c r="AD402" s="76"/>
      <c r="AE402" s="76">
        <f t="shared" si="42"/>
        <v>34473</v>
      </c>
      <c r="AF402" s="76"/>
      <c r="AG402" s="76">
        <v>-4460</v>
      </c>
      <c r="AH402" s="76"/>
      <c r="AI402" s="76">
        <v>10300</v>
      </c>
      <c r="AJ402" s="76"/>
      <c r="AK402" s="76">
        <v>5840</v>
      </c>
      <c r="AL402" s="24">
        <f>+'Gen Rev'!AI402-'Gen Exp'!AE402+'Gen Exp'!AI402-AK402</f>
        <v>0</v>
      </c>
      <c r="AM402" s="41" t="str">
        <f>'Gen Rev'!A402</f>
        <v>Midway</v>
      </c>
      <c r="AN402" s="21" t="str">
        <f t="shared" si="43"/>
        <v>Midway</v>
      </c>
      <c r="AO402" s="21" t="b">
        <f t="shared" si="44"/>
        <v>1</v>
      </c>
    </row>
    <row r="403" spans="1:41" ht="12" customHeight="1" x14ac:dyDescent="0.2">
      <c r="A403" s="1" t="s">
        <v>8</v>
      </c>
      <c r="C403" s="1" t="s">
        <v>666</v>
      </c>
      <c r="D403" s="23"/>
      <c r="E403" s="76">
        <v>28847.68</v>
      </c>
      <c r="F403" s="76"/>
      <c r="G403" s="76">
        <v>770</v>
      </c>
      <c r="H403" s="76"/>
      <c r="I403" s="76">
        <v>41.64</v>
      </c>
      <c r="J403" s="76"/>
      <c r="K403" s="76">
        <v>3145.6</v>
      </c>
      <c r="L403" s="76"/>
      <c r="M403" s="76">
        <v>0</v>
      </c>
      <c r="N403" s="76"/>
      <c r="O403" s="76">
        <v>0</v>
      </c>
      <c r="P403" s="76"/>
      <c r="Q403" s="76">
        <v>26513.48</v>
      </c>
      <c r="R403" s="76"/>
      <c r="S403" s="76">
        <v>0</v>
      </c>
      <c r="T403" s="76"/>
      <c r="U403" s="76">
        <v>0</v>
      </c>
      <c r="V403" s="76"/>
      <c r="W403" s="76">
        <v>0</v>
      </c>
      <c r="X403" s="76"/>
      <c r="Y403" s="76">
        <v>0</v>
      </c>
      <c r="Z403" s="76"/>
      <c r="AA403" s="76">
        <v>0</v>
      </c>
      <c r="AB403" s="76"/>
      <c r="AC403" s="76">
        <v>0</v>
      </c>
      <c r="AD403" s="76"/>
      <c r="AE403" s="76">
        <f t="shared" si="42"/>
        <v>59318.399999999994</v>
      </c>
      <c r="AF403" s="76"/>
      <c r="AG403" s="76">
        <v>15142.55</v>
      </c>
      <c r="AH403" s="76"/>
      <c r="AI403" s="76">
        <v>33924.699999999997</v>
      </c>
      <c r="AJ403" s="76"/>
      <c r="AK403" s="76">
        <v>49067.25</v>
      </c>
      <c r="AL403" s="24">
        <f>+'Gen Rev'!AI403-'Gen Exp'!AE403+'Gen Exp'!AI403-AK403</f>
        <v>0</v>
      </c>
      <c r="AM403" s="41" t="str">
        <f>'Gen Rev'!A403</f>
        <v>Mifflin</v>
      </c>
      <c r="AN403" s="21" t="str">
        <f t="shared" si="43"/>
        <v>Mifflin</v>
      </c>
      <c r="AO403" s="21" t="b">
        <f t="shared" si="44"/>
        <v>1</v>
      </c>
    </row>
    <row r="404" spans="1:41" s="10" customFormat="1" ht="12" customHeight="1" x14ac:dyDescent="0.2">
      <c r="A404" s="10" t="s">
        <v>347</v>
      </c>
      <c r="C404" s="10" t="s">
        <v>348</v>
      </c>
      <c r="E404" s="76">
        <v>335750</v>
      </c>
      <c r="F404" s="76"/>
      <c r="G404" s="76">
        <v>0</v>
      </c>
      <c r="H404" s="76"/>
      <c r="I404" s="76">
        <v>113813</v>
      </c>
      <c r="J404" s="76"/>
      <c r="K404" s="76">
        <v>11747</v>
      </c>
      <c r="L404" s="76"/>
      <c r="M404" s="76">
        <v>0</v>
      </c>
      <c r="N404" s="76"/>
      <c r="O404" s="76">
        <v>0</v>
      </c>
      <c r="P404" s="76"/>
      <c r="Q404" s="76">
        <v>117396</v>
      </c>
      <c r="R404" s="76"/>
      <c r="S404" s="76">
        <v>0</v>
      </c>
      <c r="T404" s="76"/>
      <c r="U404" s="76">
        <v>0</v>
      </c>
      <c r="V404" s="76"/>
      <c r="W404" s="76">
        <v>0</v>
      </c>
      <c r="X404" s="76"/>
      <c r="Y404" s="76">
        <v>46909</v>
      </c>
      <c r="Z404" s="76"/>
      <c r="AA404" s="76">
        <v>0</v>
      </c>
      <c r="AB404" s="76"/>
      <c r="AC404" s="76">
        <v>0</v>
      </c>
      <c r="AD404" s="76"/>
      <c r="AE404" s="76">
        <f t="shared" si="42"/>
        <v>625615</v>
      </c>
      <c r="AF404" s="76"/>
      <c r="AG404" s="76">
        <v>76882</v>
      </c>
      <c r="AH404" s="76"/>
      <c r="AI404" s="76">
        <v>272873</v>
      </c>
      <c r="AJ404" s="76"/>
      <c r="AK404" s="76">
        <v>349755</v>
      </c>
      <c r="AL404" s="24">
        <f>+'Gen Rev'!AI404-'Gen Exp'!AE404+'Gen Exp'!AI404-AK404</f>
        <v>0</v>
      </c>
      <c r="AM404" s="41" t="str">
        <f>'Gen Rev'!A404</f>
        <v>Milan</v>
      </c>
      <c r="AN404" s="21" t="str">
        <f t="shared" si="43"/>
        <v>Milan</v>
      </c>
      <c r="AO404" s="21" t="b">
        <f t="shared" si="44"/>
        <v>1</v>
      </c>
    </row>
    <row r="405" spans="1:41" s="19" customFormat="1" ht="12" customHeight="1" x14ac:dyDescent="0.2">
      <c r="A405" s="1" t="s">
        <v>237</v>
      </c>
      <c r="B405" s="1"/>
      <c r="C405" s="1" t="s">
        <v>807</v>
      </c>
      <c r="D405" s="23"/>
      <c r="E405" s="76">
        <v>38313.58</v>
      </c>
      <c r="F405" s="76"/>
      <c r="G405" s="76">
        <v>0</v>
      </c>
      <c r="H405" s="76"/>
      <c r="I405" s="76">
        <v>1282.74</v>
      </c>
      <c r="J405" s="76"/>
      <c r="K405" s="76">
        <v>9554.4500000000007</v>
      </c>
      <c r="L405" s="76"/>
      <c r="M405" s="76">
        <v>17074.150000000001</v>
      </c>
      <c r="N405" s="76"/>
      <c r="O405" s="76">
        <v>408.39</v>
      </c>
      <c r="P405" s="76"/>
      <c r="Q405" s="76">
        <v>56493.5</v>
      </c>
      <c r="R405" s="76"/>
      <c r="S405" s="76">
        <v>0</v>
      </c>
      <c r="T405" s="76"/>
      <c r="U405" s="76">
        <v>0</v>
      </c>
      <c r="V405" s="76"/>
      <c r="W405" s="76">
        <v>6978.9</v>
      </c>
      <c r="X405" s="76"/>
      <c r="Y405" s="76">
        <v>0</v>
      </c>
      <c r="Z405" s="76"/>
      <c r="AA405" s="76">
        <v>0</v>
      </c>
      <c r="AB405" s="76"/>
      <c r="AC405" s="76">
        <v>0</v>
      </c>
      <c r="AD405" s="76"/>
      <c r="AE405" s="76">
        <f t="shared" si="42"/>
        <v>130105.71</v>
      </c>
      <c r="AF405" s="76"/>
      <c r="AG405" s="76">
        <v>4264.67</v>
      </c>
      <c r="AH405" s="76"/>
      <c r="AI405" s="76">
        <v>60027.56</v>
      </c>
      <c r="AJ405" s="76"/>
      <c r="AK405" s="76">
        <v>64292.23</v>
      </c>
      <c r="AL405" s="24">
        <f>+'Gen Rev'!AI405-'Gen Exp'!AE405+'Gen Exp'!AI405-AK405</f>
        <v>0</v>
      </c>
      <c r="AM405" s="41" t="str">
        <f>'Gen Rev'!A405</f>
        <v>Milford Center</v>
      </c>
      <c r="AN405" s="21" t="str">
        <f t="shared" si="43"/>
        <v>Milford Center</v>
      </c>
      <c r="AO405" s="21" t="b">
        <f t="shared" si="44"/>
        <v>1</v>
      </c>
    </row>
    <row r="406" spans="1:41" ht="12" customHeight="1" x14ac:dyDescent="0.2">
      <c r="A406" s="1" t="s">
        <v>258</v>
      </c>
      <c r="C406" s="1" t="s">
        <v>813</v>
      </c>
      <c r="D406" s="23"/>
      <c r="E406" s="76">
        <v>47438.51</v>
      </c>
      <c r="F406" s="76"/>
      <c r="G406" s="76">
        <v>0</v>
      </c>
      <c r="H406" s="76"/>
      <c r="I406" s="76">
        <v>24648.29</v>
      </c>
      <c r="J406" s="76"/>
      <c r="K406" s="76">
        <v>4546.21</v>
      </c>
      <c r="L406" s="76"/>
      <c r="M406" s="76">
        <v>67686.820000000007</v>
      </c>
      <c r="N406" s="76"/>
      <c r="O406" s="76">
        <v>9463.7000000000007</v>
      </c>
      <c r="P406" s="76"/>
      <c r="Q406" s="76">
        <v>90207.23</v>
      </c>
      <c r="R406" s="76"/>
      <c r="S406" s="76">
        <v>0</v>
      </c>
      <c r="T406" s="76"/>
      <c r="U406" s="76">
        <v>19129.02</v>
      </c>
      <c r="V406" s="76"/>
      <c r="W406" s="76">
        <v>0</v>
      </c>
      <c r="X406" s="76"/>
      <c r="Y406" s="76">
        <v>0</v>
      </c>
      <c r="Z406" s="76"/>
      <c r="AA406" s="76">
        <v>0</v>
      </c>
      <c r="AB406" s="76"/>
      <c r="AC406" s="76">
        <v>0</v>
      </c>
      <c r="AD406" s="76"/>
      <c r="AE406" s="76">
        <f t="shared" si="42"/>
        <v>263119.78000000003</v>
      </c>
      <c r="AF406" s="76"/>
      <c r="AG406" s="76">
        <v>-70037.48</v>
      </c>
      <c r="AH406" s="76"/>
      <c r="AI406" s="76">
        <v>193107.53</v>
      </c>
      <c r="AJ406" s="76"/>
      <c r="AK406" s="76">
        <v>123070.05</v>
      </c>
      <c r="AL406" s="24">
        <f>+'Gen Rev'!AI406-'Gen Exp'!AE406+'Gen Exp'!AI406-AK406</f>
        <v>0</v>
      </c>
      <c r="AM406" s="41" t="str">
        <f>'Gen Rev'!A406</f>
        <v>Millbury</v>
      </c>
      <c r="AN406" s="21" t="str">
        <f t="shared" si="43"/>
        <v>Millbury</v>
      </c>
      <c r="AO406" s="21" t="b">
        <f t="shared" si="44"/>
        <v>1</v>
      </c>
    </row>
    <row r="407" spans="1:41" ht="12" customHeight="1" x14ac:dyDescent="0.2">
      <c r="A407" s="10" t="s">
        <v>70</v>
      </c>
      <c r="B407" s="10"/>
      <c r="C407" s="10" t="s">
        <v>757</v>
      </c>
      <c r="E407" s="76">
        <v>4043.6</v>
      </c>
      <c r="F407" s="76"/>
      <c r="G407" s="76">
        <v>0</v>
      </c>
      <c r="H407" s="76"/>
      <c r="I407" s="76">
        <v>0</v>
      </c>
      <c r="J407" s="76"/>
      <c r="K407" s="76">
        <v>0</v>
      </c>
      <c r="L407" s="76"/>
      <c r="M407" s="76">
        <v>1457.19</v>
      </c>
      <c r="N407" s="76"/>
      <c r="O407" s="76">
        <v>0</v>
      </c>
      <c r="P407" s="76"/>
      <c r="Q407" s="76">
        <v>13055.77</v>
      </c>
      <c r="R407" s="76"/>
      <c r="S407" s="76">
        <v>0</v>
      </c>
      <c r="T407" s="76"/>
      <c r="U407" s="76">
        <v>0</v>
      </c>
      <c r="V407" s="76"/>
      <c r="W407" s="76">
        <v>0</v>
      </c>
      <c r="X407" s="76"/>
      <c r="Y407" s="76">
        <v>0</v>
      </c>
      <c r="Z407" s="76"/>
      <c r="AA407" s="76">
        <v>0</v>
      </c>
      <c r="AB407" s="76"/>
      <c r="AC407" s="76">
        <v>0</v>
      </c>
      <c r="AD407" s="76"/>
      <c r="AE407" s="76">
        <f t="shared" si="42"/>
        <v>18556.560000000001</v>
      </c>
      <c r="AF407" s="76"/>
      <c r="AG407" s="76">
        <v>180.09</v>
      </c>
      <c r="AH407" s="76"/>
      <c r="AI407" s="76">
        <v>247.17</v>
      </c>
      <c r="AJ407" s="76"/>
      <c r="AK407" s="76">
        <v>427.26</v>
      </c>
      <c r="AL407" s="24">
        <f>+'Gen Rev'!AI407-'Gen Exp'!AE407+'Gen Exp'!AI407-AK407</f>
        <v>-3.5242919693700969E-12</v>
      </c>
      <c r="AM407" s="41" t="str">
        <f>'Gen Rev'!A407</f>
        <v>Milledgeville</v>
      </c>
      <c r="AN407" s="21" t="str">
        <f t="shared" si="43"/>
        <v>Milledgeville</v>
      </c>
      <c r="AO407" s="21" t="b">
        <f t="shared" si="44"/>
        <v>1</v>
      </c>
    </row>
    <row r="408" spans="1:41" ht="12" customHeight="1" x14ac:dyDescent="0.2">
      <c r="A408" s="1" t="s">
        <v>206</v>
      </c>
      <c r="C408" s="1" t="s">
        <v>797</v>
      </c>
      <c r="D408" s="23"/>
      <c r="E408" s="76">
        <v>4039.4</v>
      </c>
      <c r="F408" s="76"/>
      <c r="G408" s="76">
        <v>0</v>
      </c>
      <c r="H408" s="76"/>
      <c r="I408" s="76">
        <v>16</v>
      </c>
      <c r="J408" s="76"/>
      <c r="K408" s="76">
        <v>9500</v>
      </c>
      <c r="L408" s="76"/>
      <c r="M408" s="76">
        <v>4555.6899999999996</v>
      </c>
      <c r="N408" s="76"/>
      <c r="O408" s="76">
        <v>8408.5300000000007</v>
      </c>
      <c r="P408" s="76"/>
      <c r="Q408" s="76">
        <v>21332.14</v>
      </c>
      <c r="R408" s="76"/>
      <c r="S408" s="76">
        <v>0</v>
      </c>
      <c r="T408" s="76"/>
      <c r="U408" s="76">
        <v>0</v>
      </c>
      <c r="V408" s="76"/>
      <c r="W408" s="76">
        <v>0</v>
      </c>
      <c r="X408" s="76"/>
      <c r="Y408" s="76">
        <v>6997.8</v>
      </c>
      <c r="Z408" s="76"/>
      <c r="AA408" s="76">
        <v>0</v>
      </c>
      <c r="AB408" s="76"/>
      <c r="AC408" s="76">
        <v>0</v>
      </c>
      <c r="AD408" s="76"/>
      <c r="AE408" s="76">
        <f t="shared" si="42"/>
        <v>54849.560000000005</v>
      </c>
      <c r="AF408" s="76"/>
      <c r="AG408" s="76">
        <v>31472.31</v>
      </c>
      <c r="AH408" s="76"/>
      <c r="AI408" s="76">
        <v>199239.01</v>
      </c>
      <c r="AJ408" s="76"/>
      <c r="AK408" s="76">
        <v>230711.32</v>
      </c>
      <c r="AL408" s="24">
        <f>+'Gen Rev'!AI408-'Gen Exp'!AE408+'Gen Exp'!AI408-AK408</f>
        <v>0</v>
      </c>
      <c r="AM408" s="41" t="str">
        <f>'Gen Rev'!A408</f>
        <v>Miller City</v>
      </c>
      <c r="AN408" s="21" t="str">
        <f t="shared" si="43"/>
        <v>Miller City</v>
      </c>
      <c r="AO408" s="21" t="b">
        <f t="shared" si="44"/>
        <v>1</v>
      </c>
    </row>
    <row r="409" spans="1:41" ht="12" customHeight="1" x14ac:dyDescent="0.2">
      <c r="A409" s="1" t="s">
        <v>414</v>
      </c>
      <c r="C409" s="1" t="s">
        <v>412</v>
      </c>
      <c r="D409" s="36"/>
      <c r="E409" s="76">
        <v>571694.59</v>
      </c>
      <c r="F409" s="76"/>
      <c r="G409" s="76">
        <v>15568.74</v>
      </c>
      <c r="H409" s="76"/>
      <c r="I409" s="76">
        <v>44734.64</v>
      </c>
      <c r="J409" s="76"/>
      <c r="K409" s="76">
        <v>23832.69</v>
      </c>
      <c r="L409" s="76"/>
      <c r="M409" s="76">
        <v>0</v>
      </c>
      <c r="N409" s="76"/>
      <c r="O409" s="76">
        <v>8522.93</v>
      </c>
      <c r="P409" s="76"/>
      <c r="Q409" s="76">
        <v>292024.09999999998</v>
      </c>
      <c r="R409" s="76"/>
      <c r="S409" s="76">
        <v>0</v>
      </c>
      <c r="T409" s="76"/>
      <c r="U409" s="76">
        <v>0</v>
      </c>
      <c r="V409" s="76"/>
      <c r="W409" s="76">
        <v>0</v>
      </c>
      <c r="X409" s="76"/>
      <c r="Y409" s="76">
        <v>130000</v>
      </c>
      <c r="Z409" s="76"/>
      <c r="AA409" s="76">
        <v>0</v>
      </c>
      <c r="AB409" s="76"/>
      <c r="AC409" s="76">
        <v>0</v>
      </c>
      <c r="AD409" s="76"/>
      <c r="AE409" s="76">
        <f t="shared" si="42"/>
        <v>1086377.69</v>
      </c>
      <c r="AF409" s="76"/>
      <c r="AG409" s="76">
        <v>499875.69</v>
      </c>
      <c r="AH409" s="76"/>
      <c r="AI409" s="76">
        <v>125065.37</v>
      </c>
      <c r="AJ409" s="76"/>
      <c r="AK409" s="76">
        <v>624941.06000000006</v>
      </c>
      <c r="AL409" s="24">
        <f>+'Gen Rev'!AI409-'Gen Exp'!AE409+'Gen Exp'!AI409-AK409</f>
        <v>0</v>
      </c>
      <c r="AM409" s="41" t="str">
        <f>'Gen Rev'!A409</f>
        <v>Millersburg</v>
      </c>
      <c r="AN409" s="21" t="str">
        <f t="shared" si="43"/>
        <v>Millersburg</v>
      </c>
      <c r="AO409" s="21" t="b">
        <f t="shared" si="44"/>
        <v>1</v>
      </c>
    </row>
    <row r="410" spans="1:41" ht="12" customHeight="1" x14ac:dyDescent="0.2">
      <c r="A410" s="1" t="s">
        <v>63</v>
      </c>
      <c r="C410" s="1" t="s">
        <v>756</v>
      </c>
      <c r="E410" s="76">
        <v>75056.62</v>
      </c>
      <c r="F410" s="76"/>
      <c r="G410" s="76">
        <v>4544.4399999999996</v>
      </c>
      <c r="H410" s="76"/>
      <c r="I410" s="76">
        <v>46438.63</v>
      </c>
      <c r="J410" s="76"/>
      <c r="K410" s="76">
        <v>0</v>
      </c>
      <c r="L410" s="76"/>
      <c r="M410" s="76">
        <v>0</v>
      </c>
      <c r="N410" s="76"/>
      <c r="O410" s="76">
        <v>0</v>
      </c>
      <c r="P410" s="76"/>
      <c r="Q410" s="76">
        <v>76379.83</v>
      </c>
      <c r="R410" s="76"/>
      <c r="S410" s="76">
        <v>329587.62</v>
      </c>
      <c r="T410" s="76"/>
      <c r="U410" s="76">
        <v>22377.07</v>
      </c>
      <c r="V410" s="76"/>
      <c r="W410" s="76">
        <v>10434.49</v>
      </c>
      <c r="X410" s="76"/>
      <c r="Y410" s="76">
        <v>0</v>
      </c>
      <c r="Z410" s="76"/>
      <c r="AA410" s="76">
        <v>0</v>
      </c>
      <c r="AB410" s="76"/>
      <c r="AC410" s="76">
        <v>0</v>
      </c>
      <c r="AD410" s="76"/>
      <c r="AE410" s="76">
        <f t="shared" si="42"/>
        <v>564818.69999999995</v>
      </c>
      <c r="AF410" s="76"/>
      <c r="AG410" s="76">
        <v>5198.07</v>
      </c>
      <c r="AH410" s="76"/>
      <c r="AI410" s="76">
        <v>75077.279999999999</v>
      </c>
      <c r="AJ410" s="76"/>
      <c r="AK410" s="76">
        <v>80275.350000000006</v>
      </c>
      <c r="AL410" s="24">
        <f>+'Gen Rev'!AI410-'Gen Exp'!AE410+'Gen Exp'!AI410-AK410</f>
        <v>0</v>
      </c>
      <c r="AM410" s="41" t="str">
        <f>'Gen Rev'!A410</f>
        <v>Millersport</v>
      </c>
      <c r="AN410" s="21" t="str">
        <f t="shared" si="43"/>
        <v>Millersport</v>
      </c>
      <c r="AO410" s="21" t="b">
        <f t="shared" si="44"/>
        <v>1</v>
      </c>
    </row>
    <row r="411" spans="1:41" s="21" customFormat="1" ht="12" hidden="1" customHeight="1" x14ac:dyDescent="0.2">
      <c r="A411" s="1" t="s">
        <v>26</v>
      </c>
      <c r="B411" s="1"/>
      <c r="C411" s="1" t="s">
        <v>518</v>
      </c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>
        <f t="shared" si="42"/>
        <v>0</v>
      </c>
      <c r="AF411" s="76"/>
      <c r="AG411" s="76"/>
      <c r="AH411" s="76"/>
      <c r="AI411" s="76"/>
      <c r="AJ411" s="76"/>
      <c r="AK411" s="76"/>
      <c r="AL411" s="24">
        <f>+'Gen Rev'!AI411-'Gen Exp'!AE411+'Gen Exp'!AI411-AK411</f>
        <v>0</v>
      </c>
      <c r="AM411" s="41" t="str">
        <f>'Gen Rev'!A411</f>
        <v>Millville</v>
      </c>
      <c r="AN411" s="21" t="str">
        <f t="shared" si="43"/>
        <v>Millville</v>
      </c>
      <c r="AO411" s="21" t="b">
        <f t="shared" si="44"/>
        <v>1</v>
      </c>
    </row>
    <row r="412" spans="1:41" ht="12" customHeight="1" x14ac:dyDescent="0.2">
      <c r="A412" s="1" t="s">
        <v>681</v>
      </c>
      <c r="C412" s="1" t="s">
        <v>601</v>
      </c>
      <c r="E412" s="76">
        <v>5441</v>
      </c>
      <c r="F412" s="76"/>
      <c r="G412" s="76">
        <v>2782</v>
      </c>
      <c r="H412" s="76"/>
      <c r="I412" s="76">
        <v>0</v>
      </c>
      <c r="J412" s="76"/>
      <c r="K412" s="76">
        <v>0</v>
      </c>
      <c r="L412" s="76"/>
      <c r="M412" s="76">
        <v>737</v>
      </c>
      <c r="N412" s="76"/>
      <c r="O412" s="76">
        <v>0</v>
      </c>
      <c r="P412" s="76"/>
      <c r="Q412" s="76">
        <v>6389</v>
      </c>
      <c r="R412" s="76"/>
      <c r="S412" s="76">
        <v>156</v>
      </c>
      <c r="T412" s="76"/>
      <c r="U412" s="76">
        <v>0</v>
      </c>
      <c r="V412" s="76"/>
      <c r="W412" s="76">
        <v>0</v>
      </c>
      <c r="X412" s="76"/>
      <c r="Y412" s="76">
        <v>0</v>
      </c>
      <c r="Z412" s="76"/>
      <c r="AA412" s="76">
        <v>0</v>
      </c>
      <c r="AB412" s="76"/>
      <c r="AC412" s="76">
        <v>0</v>
      </c>
      <c r="AD412" s="76"/>
      <c r="AE412" s="76">
        <f t="shared" si="42"/>
        <v>15505</v>
      </c>
      <c r="AF412" s="76"/>
      <c r="AG412" s="76">
        <v>24599</v>
      </c>
      <c r="AH412" s="76"/>
      <c r="AI412" s="76">
        <v>18934</v>
      </c>
      <c r="AJ412" s="76"/>
      <c r="AK412" s="76">
        <v>43533</v>
      </c>
      <c r="AL412" s="24">
        <f>+'Gen Rev'!AI412-'Gen Exp'!AE412+'Gen Exp'!AI412-AK412</f>
        <v>0</v>
      </c>
      <c r="AM412" s="41" t="str">
        <f>'Gen Rev'!A412</f>
        <v>Milton Center</v>
      </c>
      <c r="AN412" s="21" t="str">
        <f t="shared" si="43"/>
        <v>Milton Center</v>
      </c>
      <c r="AO412" s="21" t="b">
        <f t="shared" si="44"/>
        <v>1</v>
      </c>
    </row>
    <row r="413" spans="1:41" ht="12" customHeight="1" x14ac:dyDescent="0.2">
      <c r="A413" s="1" t="s">
        <v>476</v>
      </c>
      <c r="C413" s="1" t="s">
        <v>474</v>
      </c>
      <c r="E413" s="76">
        <v>936</v>
      </c>
      <c r="F413" s="76"/>
      <c r="G413" s="76">
        <v>72</v>
      </c>
      <c r="H413" s="76"/>
      <c r="I413" s="76">
        <v>0</v>
      </c>
      <c r="J413" s="76"/>
      <c r="K413" s="76">
        <v>0</v>
      </c>
      <c r="L413" s="76"/>
      <c r="M413" s="76">
        <v>417</v>
      </c>
      <c r="N413" s="76"/>
      <c r="O413" s="76">
        <v>0</v>
      </c>
      <c r="P413" s="76"/>
      <c r="Q413" s="76">
        <v>2881</v>
      </c>
      <c r="R413" s="76"/>
      <c r="S413" s="76">
        <v>0</v>
      </c>
      <c r="T413" s="76"/>
      <c r="U413" s="76">
        <v>0</v>
      </c>
      <c r="V413" s="76"/>
      <c r="W413" s="76">
        <v>0</v>
      </c>
      <c r="X413" s="76"/>
      <c r="Y413" s="76">
        <v>0</v>
      </c>
      <c r="Z413" s="76"/>
      <c r="AA413" s="76">
        <v>0</v>
      </c>
      <c r="AB413" s="76"/>
      <c r="AC413" s="76">
        <v>0</v>
      </c>
      <c r="AD413" s="76"/>
      <c r="AE413" s="76">
        <f t="shared" si="42"/>
        <v>4306</v>
      </c>
      <c r="AF413" s="76"/>
      <c r="AG413" s="76">
        <v>369</v>
      </c>
      <c r="AH413" s="76"/>
      <c r="AI413" s="76">
        <v>6495</v>
      </c>
      <c r="AJ413" s="76"/>
      <c r="AK413" s="76">
        <v>6864</v>
      </c>
      <c r="AL413" s="24">
        <f>+'Gen Rev'!AI413-'Gen Exp'!AE413+'Gen Exp'!AI413-AK413</f>
        <v>0</v>
      </c>
      <c r="AM413" s="41" t="str">
        <f>'Gen Rev'!A413</f>
        <v>Miltonsburg</v>
      </c>
      <c r="AN413" s="21" t="str">
        <f t="shared" si="43"/>
        <v>Miltonsburg</v>
      </c>
      <c r="AO413" s="21" t="b">
        <f t="shared" si="44"/>
        <v>1</v>
      </c>
    </row>
    <row r="414" spans="1:41" ht="12" customHeight="1" x14ac:dyDescent="0.2">
      <c r="A414" s="1" t="s">
        <v>234</v>
      </c>
      <c r="C414" s="1" t="s">
        <v>806</v>
      </c>
      <c r="D414" s="23"/>
      <c r="E414" s="76">
        <v>510</v>
      </c>
      <c r="F414" s="76"/>
      <c r="G414" s="76">
        <v>235.8</v>
      </c>
      <c r="H414" s="76"/>
      <c r="I414" s="76">
        <v>11507.87</v>
      </c>
      <c r="J414" s="76"/>
      <c r="K414" s="76">
        <v>4073.4</v>
      </c>
      <c r="L414" s="76"/>
      <c r="M414" s="76">
        <v>24607.71</v>
      </c>
      <c r="N414" s="76"/>
      <c r="O414" s="76">
        <v>24960.57</v>
      </c>
      <c r="P414" s="76"/>
      <c r="Q414" s="76">
        <v>55335.49</v>
      </c>
      <c r="R414" s="76"/>
      <c r="S414" s="76">
        <v>19283.73</v>
      </c>
      <c r="T414" s="76"/>
      <c r="U414" s="76">
        <v>0</v>
      </c>
      <c r="V414" s="76"/>
      <c r="W414" s="76">
        <v>0</v>
      </c>
      <c r="X414" s="76"/>
      <c r="Y414" s="76">
        <v>0</v>
      </c>
      <c r="Z414" s="76"/>
      <c r="AA414" s="76">
        <v>0</v>
      </c>
      <c r="AB414" s="76"/>
      <c r="AC414" s="76">
        <v>0</v>
      </c>
      <c r="AD414" s="76"/>
      <c r="AE414" s="76">
        <f t="shared" si="42"/>
        <v>140514.57</v>
      </c>
      <c r="AF414" s="76"/>
      <c r="AG414" s="76">
        <v>10097.74</v>
      </c>
      <c r="AH414" s="76"/>
      <c r="AI414" s="76">
        <v>230812.18</v>
      </c>
      <c r="AJ414" s="76"/>
      <c r="AK414" s="76">
        <v>240909.92</v>
      </c>
      <c r="AL414" s="24">
        <f>+'Gen Rev'!AI414-'Gen Exp'!AE414+'Gen Exp'!AI414-AK414</f>
        <v>0</v>
      </c>
      <c r="AM414" s="41" t="str">
        <f>'Gen Rev'!A414</f>
        <v>Mineral City</v>
      </c>
      <c r="AN414" s="21" t="str">
        <f t="shared" si="43"/>
        <v>Mineral City</v>
      </c>
      <c r="AO414" s="21" t="b">
        <f t="shared" si="44"/>
        <v>1</v>
      </c>
    </row>
    <row r="415" spans="1:41" ht="12" customHeight="1" x14ac:dyDescent="0.2">
      <c r="A415" s="1" t="s">
        <v>545</v>
      </c>
      <c r="C415" s="1" t="s">
        <v>540</v>
      </c>
      <c r="E415" s="76">
        <v>1191426</v>
      </c>
      <c r="F415" s="76"/>
      <c r="G415" s="76">
        <v>20122</v>
      </c>
      <c r="H415" s="76"/>
      <c r="I415" s="76">
        <v>0</v>
      </c>
      <c r="J415" s="76"/>
      <c r="K415" s="76">
        <v>96</v>
      </c>
      <c r="L415" s="76"/>
      <c r="M415" s="76">
        <v>14978</v>
      </c>
      <c r="N415" s="76"/>
      <c r="O415" s="76">
        <v>0</v>
      </c>
      <c r="P415" s="76"/>
      <c r="Q415" s="76">
        <v>355139</v>
      </c>
      <c r="R415" s="76"/>
      <c r="S415" s="76">
        <v>0</v>
      </c>
      <c r="T415" s="76"/>
      <c r="U415" s="76">
        <v>0</v>
      </c>
      <c r="V415" s="76"/>
      <c r="W415" s="76">
        <v>0</v>
      </c>
      <c r="X415" s="76"/>
      <c r="Y415" s="76">
        <v>0</v>
      </c>
      <c r="Z415" s="76"/>
      <c r="AA415" s="76">
        <v>0</v>
      </c>
      <c r="AB415" s="76"/>
      <c r="AC415" s="76">
        <v>315287</v>
      </c>
      <c r="AD415" s="76"/>
      <c r="AE415" s="76">
        <f t="shared" si="42"/>
        <v>1897048</v>
      </c>
      <c r="AF415" s="76"/>
      <c r="AG415" s="76">
        <v>338473</v>
      </c>
      <c r="AH415" s="76"/>
      <c r="AI415" s="76">
        <v>1715401</v>
      </c>
      <c r="AJ415" s="76"/>
      <c r="AK415" s="76">
        <v>2053874</v>
      </c>
      <c r="AL415" s="24">
        <f>+'Gen Rev'!AI415-'Gen Exp'!AE415+'Gen Exp'!AI415-AK415</f>
        <v>0</v>
      </c>
      <c r="AM415" s="41" t="str">
        <f>'Gen Rev'!A415</f>
        <v xml:space="preserve">Minerva  </v>
      </c>
      <c r="AN415" s="21" t="str">
        <f t="shared" si="43"/>
        <v xml:space="preserve">Minerva  </v>
      </c>
      <c r="AO415" s="21" t="b">
        <f t="shared" si="44"/>
        <v>1</v>
      </c>
    </row>
    <row r="416" spans="1:41" s="21" customFormat="1" ht="12" customHeight="1" x14ac:dyDescent="0.2">
      <c r="A416" s="15" t="s">
        <v>74</v>
      </c>
      <c r="B416" s="15"/>
      <c r="C416" s="15" t="s">
        <v>353</v>
      </c>
      <c r="D416" s="23"/>
      <c r="E416" s="76">
        <v>660722.1</v>
      </c>
      <c r="F416" s="76"/>
      <c r="G416" s="76">
        <v>0</v>
      </c>
      <c r="H416" s="76"/>
      <c r="I416" s="76">
        <v>92706.77</v>
      </c>
      <c r="J416" s="76"/>
      <c r="K416" s="76">
        <v>1975.59</v>
      </c>
      <c r="L416" s="76"/>
      <c r="M416" s="76">
        <v>134765.93</v>
      </c>
      <c r="N416" s="76"/>
      <c r="O416" s="76">
        <v>16479.09</v>
      </c>
      <c r="P416" s="76"/>
      <c r="Q416" s="76">
        <v>346949.61</v>
      </c>
      <c r="R416" s="76"/>
      <c r="S416" s="76">
        <v>0</v>
      </c>
      <c r="T416" s="76"/>
      <c r="U416" s="76">
        <v>0</v>
      </c>
      <c r="V416" s="76"/>
      <c r="W416" s="76">
        <v>0</v>
      </c>
      <c r="X416" s="76"/>
      <c r="Y416" s="76">
        <v>5000</v>
      </c>
      <c r="Z416" s="76"/>
      <c r="AA416" s="76">
        <v>0</v>
      </c>
      <c r="AB416" s="76"/>
      <c r="AC416" s="76">
        <v>0</v>
      </c>
      <c r="AD416" s="76"/>
      <c r="AE416" s="76">
        <f t="shared" si="42"/>
        <v>1258599.0899999999</v>
      </c>
      <c r="AF416" s="76"/>
      <c r="AG416" s="76">
        <v>-178682.87</v>
      </c>
      <c r="AH416" s="76"/>
      <c r="AI416" s="76">
        <v>267187.13</v>
      </c>
      <c r="AJ416" s="76"/>
      <c r="AK416" s="76">
        <v>88504.26</v>
      </c>
      <c r="AL416" s="24">
        <f>+'Gen Rev'!AI416-'Gen Exp'!AE416+'Gen Exp'!AI416-AK416</f>
        <v>1.3096723705530167E-10</v>
      </c>
      <c r="AM416" s="41" t="str">
        <f>'Gen Rev'!A416</f>
        <v>Minerva Park</v>
      </c>
      <c r="AN416" s="21" t="str">
        <f t="shared" si="43"/>
        <v>Minerva Park</v>
      </c>
      <c r="AO416" s="21" t="b">
        <f t="shared" si="44"/>
        <v>1</v>
      </c>
    </row>
    <row r="417" spans="1:41" ht="12" customHeight="1" x14ac:dyDescent="0.2">
      <c r="A417" s="1" t="s">
        <v>423</v>
      </c>
      <c r="C417" s="1" t="s">
        <v>420</v>
      </c>
      <c r="E417" s="76">
        <v>614571</v>
      </c>
      <c r="F417" s="76"/>
      <c r="G417" s="76">
        <v>10501</v>
      </c>
      <c r="H417" s="76"/>
      <c r="I417" s="76">
        <v>0</v>
      </c>
      <c r="J417" s="76"/>
      <c r="K417" s="76">
        <v>0</v>
      </c>
      <c r="L417" s="76"/>
      <c r="M417" s="76">
        <v>1840</v>
      </c>
      <c r="N417" s="76"/>
      <c r="O417" s="76">
        <v>48611</v>
      </c>
      <c r="P417" s="76"/>
      <c r="Q417" s="76">
        <v>421999</v>
      </c>
      <c r="R417" s="76"/>
      <c r="S417" s="76">
        <v>0</v>
      </c>
      <c r="T417" s="76"/>
      <c r="U417" s="76">
        <v>0</v>
      </c>
      <c r="V417" s="76"/>
      <c r="W417" s="76">
        <v>0</v>
      </c>
      <c r="X417" s="76"/>
      <c r="Y417" s="76">
        <v>88144</v>
      </c>
      <c r="Z417" s="76"/>
      <c r="AA417" s="76">
        <v>0</v>
      </c>
      <c r="AB417" s="76"/>
      <c r="AC417" s="76">
        <v>40</v>
      </c>
      <c r="AD417" s="76"/>
      <c r="AE417" s="76">
        <f t="shared" si="42"/>
        <v>1185706</v>
      </c>
      <c r="AF417" s="76"/>
      <c r="AG417" s="76">
        <v>-247715</v>
      </c>
      <c r="AH417" s="76"/>
      <c r="AI417" s="76">
        <v>483378</v>
      </c>
      <c r="AJ417" s="76"/>
      <c r="AK417" s="76">
        <v>235663</v>
      </c>
      <c r="AL417" s="24">
        <f>+'Gen Rev'!AI417-'Gen Exp'!AE417+'Gen Exp'!AI417-AK417</f>
        <v>0</v>
      </c>
      <c r="AM417" s="41" t="str">
        <f>'Gen Rev'!A417</f>
        <v>Mingo Junction</v>
      </c>
      <c r="AN417" s="21" t="str">
        <f t="shared" si="43"/>
        <v>Mingo Junction</v>
      </c>
      <c r="AO417" s="21" t="b">
        <f t="shared" si="44"/>
        <v>1</v>
      </c>
    </row>
    <row r="418" spans="1:41" ht="12" customHeight="1" x14ac:dyDescent="0.2">
      <c r="A418" s="1" t="s">
        <v>276</v>
      </c>
      <c r="C418" s="1" t="s">
        <v>275</v>
      </c>
      <c r="E418" s="76">
        <v>663779</v>
      </c>
      <c r="F418" s="76"/>
      <c r="G418" s="76">
        <v>0</v>
      </c>
      <c r="H418" s="76"/>
      <c r="I418" s="76">
        <v>0</v>
      </c>
      <c r="J418" s="76"/>
      <c r="K418" s="76">
        <v>31427</v>
      </c>
      <c r="L418" s="76"/>
      <c r="M418" s="76">
        <v>0</v>
      </c>
      <c r="N418" s="76"/>
      <c r="O418" s="76">
        <v>0</v>
      </c>
      <c r="P418" s="76"/>
      <c r="Q418" s="76">
        <v>438340</v>
      </c>
      <c r="R418" s="76"/>
      <c r="S418" s="76">
        <v>52791</v>
      </c>
      <c r="T418" s="76"/>
      <c r="U418" s="76">
        <v>0</v>
      </c>
      <c r="V418" s="76"/>
      <c r="W418" s="76">
        <v>0</v>
      </c>
      <c r="X418" s="76"/>
      <c r="Y418" s="76">
        <v>2899888</v>
      </c>
      <c r="Z418" s="76"/>
      <c r="AA418" s="76">
        <v>0</v>
      </c>
      <c r="AB418" s="76"/>
      <c r="AC418" s="76">
        <v>0</v>
      </c>
      <c r="AD418" s="76"/>
      <c r="AE418" s="76">
        <f t="shared" si="42"/>
        <v>4086225</v>
      </c>
      <c r="AF418" s="76"/>
      <c r="AG418" s="76">
        <v>58512</v>
      </c>
      <c r="AH418" s="76"/>
      <c r="AI418" s="76">
        <v>274251</v>
      </c>
      <c r="AJ418" s="76"/>
      <c r="AK418" s="76">
        <v>332763</v>
      </c>
      <c r="AL418" s="24">
        <f>+'Gen Rev'!AI418-'Gen Exp'!AE418+'Gen Exp'!AI418-AK418</f>
        <v>0</v>
      </c>
      <c r="AM418" s="41" t="str">
        <f>'Gen Rev'!A418</f>
        <v>Minster</v>
      </c>
      <c r="AN418" s="21" t="str">
        <f t="shared" si="43"/>
        <v>Minster</v>
      </c>
      <c r="AO418" s="21" t="b">
        <f t="shared" si="44"/>
        <v>1</v>
      </c>
    </row>
    <row r="419" spans="1:41" ht="12" customHeight="1" x14ac:dyDescent="0.2">
      <c r="A419" s="1" t="s">
        <v>550</v>
      </c>
      <c r="C419" s="1" t="s">
        <v>549</v>
      </c>
      <c r="E419" s="76">
        <v>1188394</v>
      </c>
      <c r="F419" s="76"/>
      <c r="G419" s="76">
        <v>20734</v>
      </c>
      <c r="H419" s="76"/>
      <c r="I419" s="76">
        <v>0</v>
      </c>
      <c r="J419" s="76"/>
      <c r="K419" s="76">
        <v>109545</v>
      </c>
      <c r="L419" s="76"/>
      <c r="M419" s="76">
        <v>27631</v>
      </c>
      <c r="N419" s="76"/>
      <c r="O419" s="76">
        <v>0</v>
      </c>
      <c r="P419" s="76"/>
      <c r="Q419" s="76">
        <v>433983</v>
      </c>
      <c r="R419" s="76"/>
      <c r="S419" s="76">
        <v>191578</v>
      </c>
      <c r="T419" s="76"/>
      <c r="U419" s="76">
        <v>0</v>
      </c>
      <c r="V419" s="76"/>
      <c r="W419" s="76">
        <v>0</v>
      </c>
      <c r="X419" s="76"/>
      <c r="Y419" s="76">
        <v>0</v>
      </c>
      <c r="Z419" s="76"/>
      <c r="AA419" s="76">
        <v>0</v>
      </c>
      <c r="AB419" s="76"/>
      <c r="AC419" s="76">
        <v>0</v>
      </c>
      <c r="AD419" s="76"/>
      <c r="AE419" s="76">
        <f t="shared" si="42"/>
        <v>1971865</v>
      </c>
      <c r="AF419" s="76"/>
      <c r="AG419" s="76">
        <v>302092</v>
      </c>
      <c r="AH419" s="76"/>
      <c r="AI419" s="76">
        <v>-249058</v>
      </c>
      <c r="AJ419" s="76"/>
      <c r="AK419" s="76">
        <v>53034</v>
      </c>
      <c r="AL419" s="24">
        <f>+'Gen Rev'!AI419-'Gen Exp'!AE419+'Gen Exp'!AI419-AK419</f>
        <v>0</v>
      </c>
      <c r="AM419" s="41" t="str">
        <f>'Gen Rev'!A419</f>
        <v>Mogadore</v>
      </c>
      <c r="AN419" s="21" t="str">
        <f t="shared" si="43"/>
        <v>Mogadore</v>
      </c>
      <c r="AO419" s="21" t="b">
        <f t="shared" si="44"/>
        <v>1</v>
      </c>
    </row>
    <row r="420" spans="1:41" ht="12" customHeight="1" x14ac:dyDescent="0.2">
      <c r="A420" s="1" t="s">
        <v>415</v>
      </c>
      <c r="C420" s="1" t="s">
        <v>416</v>
      </c>
      <c r="E420" s="76">
        <v>327932</v>
      </c>
      <c r="F420" s="76"/>
      <c r="G420" s="76">
        <v>1281</v>
      </c>
      <c r="H420" s="76"/>
      <c r="I420" s="76">
        <v>53536</v>
      </c>
      <c r="J420" s="76"/>
      <c r="K420" s="76">
        <v>13748</v>
      </c>
      <c r="L420" s="76"/>
      <c r="M420" s="76">
        <v>0</v>
      </c>
      <c r="N420" s="76"/>
      <c r="O420" s="76">
        <v>68796</v>
      </c>
      <c r="P420" s="76"/>
      <c r="Q420" s="76">
        <v>143360</v>
      </c>
      <c r="R420" s="76"/>
      <c r="S420" s="76">
        <v>0</v>
      </c>
      <c r="T420" s="76"/>
      <c r="U420" s="76">
        <v>0</v>
      </c>
      <c r="V420" s="76"/>
      <c r="W420" s="76">
        <v>0</v>
      </c>
      <c r="X420" s="76"/>
      <c r="Y420" s="76">
        <v>258690</v>
      </c>
      <c r="Z420" s="76"/>
      <c r="AA420" s="76">
        <v>1173662</v>
      </c>
      <c r="AB420" s="76"/>
      <c r="AC420" s="76">
        <v>0</v>
      </c>
      <c r="AD420" s="76"/>
      <c r="AE420" s="76">
        <f t="shared" si="42"/>
        <v>2041005</v>
      </c>
      <c r="AF420" s="76"/>
      <c r="AG420" s="76">
        <v>-897259</v>
      </c>
      <c r="AH420" s="76"/>
      <c r="AI420" s="76">
        <v>945433</v>
      </c>
      <c r="AJ420" s="76"/>
      <c r="AK420" s="76">
        <v>48174</v>
      </c>
      <c r="AL420" s="24">
        <f>+'Gen Rev'!AI420-'Gen Exp'!AE420+'Gen Exp'!AI420-AK420</f>
        <v>0</v>
      </c>
      <c r="AM420" s="41" t="str">
        <f>'Gen Rev'!A420</f>
        <v>Monroeville</v>
      </c>
      <c r="AN420" s="21" t="str">
        <f t="shared" si="43"/>
        <v>Monroeville</v>
      </c>
      <c r="AO420" s="21" t="b">
        <f t="shared" si="44"/>
        <v>1</v>
      </c>
    </row>
    <row r="421" spans="1:41" ht="12" customHeight="1" x14ac:dyDescent="0.2">
      <c r="A421" s="1" t="s">
        <v>160</v>
      </c>
      <c r="C421" s="1" t="s">
        <v>783</v>
      </c>
      <c r="D421" s="23"/>
      <c r="E421" s="76">
        <v>487.5</v>
      </c>
      <c r="F421" s="76"/>
      <c r="G421" s="76">
        <v>543.99</v>
      </c>
      <c r="H421" s="76"/>
      <c r="I421" s="76">
        <v>0</v>
      </c>
      <c r="J421" s="76"/>
      <c r="K421" s="76">
        <v>445.5</v>
      </c>
      <c r="L421" s="76"/>
      <c r="M421" s="76">
        <v>0</v>
      </c>
      <c r="N421" s="76"/>
      <c r="O421" s="76">
        <v>0</v>
      </c>
      <c r="P421" s="76"/>
      <c r="Q421" s="76">
        <v>16020.62</v>
      </c>
      <c r="R421" s="76"/>
      <c r="S421" s="76">
        <v>0</v>
      </c>
      <c r="T421" s="76"/>
      <c r="U421" s="76">
        <v>0</v>
      </c>
      <c r="V421" s="76"/>
      <c r="W421" s="76">
        <v>0</v>
      </c>
      <c r="X421" s="76"/>
      <c r="Y421" s="76">
        <v>0</v>
      </c>
      <c r="Z421" s="76"/>
      <c r="AA421" s="76">
        <v>0</v>
      </c>
      <c r="AB421" s="76"/>
      <c r="AC421" s="76">
        <v>0</v>
      </c>
      <c r="AD421" s="76"/>
      <c r="AE421" s="76">
        <f t="shared" si="42"/>
        <v>17497.61</v>
      </c>
      <c r="AF421" s="76"/>
      <c r="AG421" s="76">
        <v>-596.87</v>
      </c>
      <c r="AH421" s="76"/>
      <c r="AI421" s="76">
        <v>18264.009999999998</v>
      </c>
      <c r="AJ421" s="76"/>
      <c r="AK421" s="76">
        <v>17667.14</v>
      </c>
      <c r="AL421" s="24">
        <f>+'Gen Rev'!AI421-'Gen Exp'!AE421+'Gen Exp'!AI421-AK421</f>
        <v>0</v>
      </c>
      <c r="AM421" s="41" t="str">
        <f>'Gen Rev'!A421</f>
        <v>Montezuma</v>
      </c>
      <c r="AN421" s="21" t="str">
        <f t="shared" si="43"/>
        <v>Montezuma</v>
      </c>
      <c r="AO421" s="21" t="b">
        <f t="shared" si="44"/>
        <v>1</v>
      </c>
    </row>
    <row r="422" spans="1:41" s="21" customFormat="1" ht="12" customHeight="1" x14ac:dyDescent="0.2">
      <c r="A422" s="1" t="s">
        <v>597</v>
      </c>
      <c r="B422" s="1"/>
      <c r="C422" s="1" t="s">
        <v>596</v>
      </c>
      <c r="D422" s="1"/>
      <c r="E422" s="76">
        <v>717793</v>
      </c>
      <c r="F422" s="76"/>
      <c r="G422" s="76">
        <v>105</v>
      </c>
      <c r="H422" s="76"/>
      <c r="I422" s="76">
        <v>0</v>
      </c>
      <c r="J422" s="76"/>
      <c r="K422" s="76">
        <v>0</v>
      </c>
      <c r="L422" s="76"/>
      <c r="M422" s="76">
        <v>309546</v>
      </c>
      <c r="N422" s="76"/>
      <c r="O422" s="76">
        <v>252140</v>
      </c>
      <c r="P422" s="76"/>
      <c r="Q422" s="76">
        <v>199016</v>
      </c>
      <c r="R422" s="76"/>
      <c r="S422" s="76">
        <v>0</v>
      </c>
      <c r="T422" s="76"/>
      <c r="U422" s="76">
        <v>0</v>
      </c>
      <c r="V422" s="76"/>
      <c r="W422" s="76">
        <v>0</v>
      </c>
      <c r="X422" s="76"/>
      <c r="Y422" s="76">
        <v>100306</v>
      </c>
      <c r="Z422" s="76"/>
      <c r="AA422" s="76">
        <v>0</v>
      </c>
      <c r="AB422" s="76"/>
      <c r="AC422" s="76">
        <v>0</v>
      </c>
      <c r="AD422" s="76"/>
      <c r="AE422" s="76">
        <f t="shared" si="42"/>
        <v>1578906</v>
      </c>
      <c r="AF422" s="76"/>
      <c r="AG422" s="76">
        <v>267564</v>
      </c>
      <c r="AH422" s="76"/>
      <c r="AI422" s="76">
        <v>886860</v>
      </c>
      <c r="AJ422" s="76"/>
      <c r="AK422" s="76">
        <v>1154424</v>
      </c>
      <c r="AL422" s="24">
        <f>+'Gen Rev'!AI422-'Gen Exp'!AE422+'Gen Exp'!AI422-AK422</f>
        <v>0</v>
      </c>
      <c r="AM422" s="41" t="str">
        <f>'Gen Rev'!A422</f>
        <v>Montpelier</v>
      </c>
      <c r="AN422" s="21" t="str">
        <f t="shared" si="43"/>
        <v>Montpelier</v>
      </c>
      <c r="AO422" s="21" t="b">
        <f t="shared" si="44"/>
        <v>1</v>
      </c>
    </row>
    <row r="423" spans="1:41" s="36" customFormat="1" ht="12" customHeight="1" x14ac:dyDescent="0.2">
      <c r="A423" s="1" t="s">
        <v>323</v>
      </c>
      <c r="B423" s="1"/>
      <c r="C423" s="1" t="s">
        <v>316</v>
      </c>
      <c r="D423" s="1"/>
      <c r="E423" s="76">
        <v>0</v>
      </c>
      <c r="F423" s="76"/>
      <c r="G423" s="76">
        <v>19036</v>
      </c>
      <c r="H423" s="76"/>
      <c r="I423" s="76">
        <v>0</v>
      </c>
      <c r="J423" s="76"/>
      <c r="K423" s="76">
        <v>79533</v>
      </c>
      <c r="L423" s="76"/>
      <c r="M423" s="76">
        <v>904629</v>
      </c>
      <c r="N423" s="76"/>
      <c r="O423" s="76">
        <v>128132</v>
      </c>
      <c r="P423" s="76"/>
      <c r="Q423" s="76">
        <v>1696673</v>
      </c>
      <c r="R423" s="76"/>
      <c r="S423" s="76">
        <v>0</v>
      </c>
      <c r="T423" s="76"/>
      <c r="U423" s="76">
        <v>0</v>
      </c>
      <c r="V423" s="76"/>
      <c r="W423" s="76">
        <v>0</v>
      </c>
      <c r="X423" s="76"/>
      <c r="Y423" s="76">
        <v>2213000</v>
      </c>
      <c r="Z423" s="76"/>
      <c r="AA423" s="76">
        <v>29000</v>
      </c>
      <c r="AB423" s="76"/>
      <c r="AC423" s="76">
        <v>0</v>
      </c>
      <c r="AD423" s="76"/>
      <c r="AE423" s="76">
        <f t="shared" si="42"/>
        <v>5070003</v>
      </c>
      <c r="AF423" s="76"/>
      <c r="AG423" s="76">
        <v>-639608</v>
      </c>
      <c r="AH423" s="76"/>
      <c r="AI423" s="76">
        <v>5908532</v>
      </c>
      <c r="AJ423" s="76"/>
      <c r="AK423" s="76">
        <v>5268924</v>
      </c>
      <c r="AL423" s="24">
        <f>+'Gen Rev'!AI423-'Gen Exp'!AE423+'Gen Exp'!AI423-AK423</f>
        <v>0</v>
      </c>
      <c r="AM423" s="41" t="str">
        <f>'Gen Rev'!A423</f>
        <v>Moreland Hills</v>
      </c>
      <c r="AN423" s="21" t="str">
        <f t="shared" si="43"/>
        <v>Moreland Hills</v>
      </c>
      <c r="AO423" s="21" t="b">
        <f t="shared" si="44"/>
        <v>1</v>
      </c>
    </row>
    <row r="424" spans="1:41" ht="12" customHeight="1" x14ac:dyDescent="0.2">
      <c r="A424" s="1" t="s">
        <v>930</v>
      </c>
      <c r="C424" s="1" t="s">
        <v>463</v>
      </c>
      <c r="D424" s="23"/>
      <c r="E424" s="76">
        <v>7779.13</v>
      </c>
      <c r="F424" s="76"/>
      <c r="G424" s="76">
        <v>2969.87</v>
      </c>
      <c r="H424" s="76"/>
      <c r="I424" s="76">
        <v>0</v>
      </c>
      <c r="J424" s="76"/>
      <c r="K424" s="76">
        <v>0</v>
      </c>
      <c r="L424" s="76"/>
      <c r="M424" s="76">
        <v>0</v>
      </c>
      <c r="N424" s="76"/>
      <c r="O424" s="76">
        <v>2849.96</v>
      </c>
      <c r="P424" s="76"/>
      <c r="Q424" s="76">
        <v>17815.009999999998</v>
      </c>
      <c r="R424" s="76"/>
      <c r="S424" s="76">
        <v>0</v>
      </c>
      <c r="T424" s="76"/>
      <c r="U424" s="76">
        <v>0</v>
      </c>
      <c r="V424" s="76"/>
      <c r="W424" s="76">
        <v>0</v>
      </c>
      <c r="X424" s="76"/>
      <c r="Y424" s="76">
        <v>0</v>
      </c>
      <c r="Z424" s="76"/>
      <c r="AA424" s="76">
        <v>0</v>
      </c>
      <c r="AB424" s="76"/>
      <c r="AC424" s="76">
        <v>0</v>
      </c>
      <c r="AD424" s="76"/>
      <c r="AE424" s="76">
        <f t="shared" si="42"/>
        <v>31413.969999999998</v>
      </c>
      <c r="AF424" s="76"/>
      <c r="AG424" s="76">
        <v>-9468.2000000000007</v>
      </c>
      <c r="AH424" s="76"/>
      <c r="AI424" s="76">
        <v>3035.14</v>
      </c>
      <c r="AJ424" s="76"/>
      <c r="AK424" s="76">
        <v>-6433.06</v>
      </c>
      <c r="AL424" s="24">
        <f>+'Gen Rev'!AI424-'Gen Exp'!AE424+'Gen Exp'!AI424-AK424</f>
        <v>0</v>
      </c>
      <c r="AM424" s="41" t="str">
        <f>'Gen Rev'!A424</f>
        <v>Morral</v>
      </c>
      <c r="AN424" s="21" t="str">
        <f t="shared" si="43"/>
        <v>Morral</v>
      </c>
      <c r="AO424" s="21" t="b">
        <f t="shared" si="44"/>
        <v>1</v>
      </c>
    </row>
    <row r="425" spans="1:41" ht="12" customHeight="1" x14ac:dyDescent="0.2">
      <c r="A425" s="1" t="s">
        <v>18</v>
      </c>
      <c r="C425" s="1" t="s">
        <v>741</v>
      </c>
      <c r="D425" s="23"/>
      <c r="E425" s="76">
        <v>5631.36</v>
      </c>
      <c r="F425" s="76"/>
      <c r="G425" s="76">
        <v>1200</v>
      </c>
      <c r="H425" s="76"/>
      <c r="I425" s="76">
        <v>0</v>
      </c>
      <c r="J425" s="76"/>
      <c r="K425" s="76">
        <v>0</v>
      </c>
      <c r="L425" s="76"/>
      <c r="M425" s="76">
        <v>0</v>
      </c>
      <c r="N425" s="76"/>
      <c r="O425" s="76">
        <v>1818.2</v>
      </c>
      <c r="P425" s="76"/>
      <c r="Q425" s="76">
        <v>29728.85</v>
      </c>
      <c r="R425" s="76"/>
      <c r="S425" s="76">
        <v>0</v>
      </c>
      <c r="T425" s="76"/>
      <c r="U425" s="76">
        <v>0</v>
      </c>
      <c r="V425" s="76"/>
      <c r="W425" s="76">
        <v>2226.84</v>
      </c>
      <c r="X425" s="76"/>
      <c r="Y425" s="76">
        <v>0</v>
      </c>
      <c r="Z425" s="76"/>
      <c r="AA425" s="76">
        <v>0</v>
      </c>
      <c r="AB425" s="76"/>
      <c r="AC425" s="76">
        <v>0</v>
      </c>
      <c r="AD425" s="76"/>
      <c r="AE425" s="76">
        <f t="shared" si="42"/>
        <v>40605.25</v>
      </c>
      <c r="AF425" s="76"/>
      <c r="AG425" s="76">
        <v>386555.94</v>
      </c>
      <c r="AH425" s="76"/>
      <c r="AI425" s="76">
        <v>680.07</v>
      </c>
      <c r="AJ425" s="76"/>
      <c r="AK425" s="76">
        <v>387236.01</v>
      </c>
      <c r="AL425" s="24">
        <f>+'Gen Rev'!AI425-'Gen Exp'!AE425+'Gen Exp'!AI425-AK425</f>
        <v>0</v>
      </c>
      <c r="AM425" s="41" t="str">
        <f>'Gen Rev'!A425</f>
        <v>Morristown</v>
      </c>
      <c r="AN425" s="21" t="str">
        <f t="shared" si="43"/>
        <v>Morristown</v>
      </c>
      <c r="AO425" s="21" t="b">
        <f t="shared" si="44"/>
        <v>1</v>
      </c>
    </row>
    <row r="426" spans="1:41" ht="12" customHeight="1" x14ac:dyDescent="0.2">
      <c r="A426" s="1" t="s">
        <v>243</v>
      </c>
      <c r="C426" s="1" t="s">
        <v>809</v>
      </c>
      <c r="D426" s="23"/>
      <c r="E426" s="76">
        <v>206221.21</v>
      </c>
      <c r="F426" s="76"/>
      <c r="G426" s="76">
        <v>716.3</v>
      </c>
      <c r="H426" s="76"/>
      <c r="I426" s="76">
        <v>7871.53</v>
      </c>
      <c r="J426" s="76"/>
      <c r="K426" s="76">
        <v>4138.49</v>
      </c>
      <c r="L426" s="76"/>
      <c r="M426" s="76">
        <v>116990.58</v>
      </c>
      <c r="N426" s="76"/>
      <c r="O426" s="76">
        <v>0</v>
      </c>
      <c r="P426" s="76"/>
      <c r="Q426" s="76">
        <v>219038.4</v>
      </c>
      <c r="R426" s="76"/>
      <c r="S426" s="76">
        <v>0</v>
      </c>
      <c r="T426" s="76"/>
      <c r="U426" s="76">
        <v>16052.56</v>
      </c>
      <c r="V426" s="76"/>
      <c r="W426" s="76">
        <v>4613.0600000000004</v>
      </c>
      <c r="X426" s="76"/>
      <c r="Y426" s="76">
        <v>0</v>
      </c>
      <c r="Z426" s="76"/>
      <c r="AA426" s="76">
        <v>0</v>
      </c>
      <c r="AB426" s="76"/>
      <c r="AC426" s="76">
        <v>0</v>
      </c>
      <c r="AD426" s="76"/>
      <c r="AE426" s="76">
        <f t="shared" si="42"/>
        <v>575642.13000000012</v>
      </c>
      <c r="AF426" s="76"/>
      <c r="AG426" s="76">
        <v>117658.29</v>
      </c>
      <c r="AH426" s="76"/>
      <c r="AI426" s="76">
        <v>162315.69</v>
      </c>
      <c r="AJ426" s="76"/>
      <c r="AK426" s="76">
        <v>279973.98</v>
      </c>
      <c r="AL426" s="24">
        <f>+'Gen Rev'!AI426-'Gen Exp'!AE426+'Gen Exp'!AI426-AK426</f>
        <v>0</v>
      </c>
      <c r="AM426" s="41" t="str">
        <f>'Gen Rev'!A426</f>
        <v>Morrow</v>
      </c>
      <c r="AN426" s="21" t="str">
        <f t="shared" si="43"/>
        <v>Morrow</v>
      </c>
      <c r="AO426" s="21" t="b">
        <f t="shared" si="44"/>
        <v>1</v>
      </c>
    </row>
    <row r="427" spans="1:41" ht="12" customHeight="1" x14ac:dyDescent="0.2">
      <c r="A427" s="1" t="s">
        <v>298</v>
      </c>
      <c r="C427" s="1" t="s">
        <v>295</v>
      </c>
      <c r="E427" s="76">
        <v>55138.58</v>
      </c>
      <c r="F427" s="76"/>
      <c r="G427" s="76">
        <v>35504.97</v>
      </c>
      <c r="H427" s="76"/>
      <c r="I427" s="76">
        <v>646382.92000000004</v>
      </c>
      <c r="J427" s="76"/>
      <c r="K427" s="76">
        <v>1045.68</v>
      </c>
      <c r="L427" s="76"/>
      <c r="M427" s="76">
        <v>24448.3</v>
      </c>
      <c r="N427" s="76"/>
      <c r="O427" s="76">
        <v>1602.98</v>
      </c>
      <c r="P427" s="76"/>
      <c r="Q427" s="76">
        <v>407495.58</v>
      </c>
      <c r="R427" s="76"/>
      <c r="S427" s="76">
        <v>0</v>
      </c>
      <c r="T427" s="76"/>
      <c r="U427" s="76">
        <v>0</v>
      </c>
      <c r="V427" s="76"/>
      <c r="W427" s="76">
        <v>0</v>
      </c>
      <c r="X427" s="76"/>
      <c r="Y427" s="76">
        <v>0</v>
      </c>
      <c r="Z427" s="76"/>
      <c r="AA427" s="76">
        <v>0</v>
      </c>
      <c r="AB427" s="76"/>
      <c r="AC427" s="76">
        <v>0</v>
      </c>
      <c r="AD427" s="76"/>
      <c r="AE427" s="76">
        <f t="shared" si="42"/>
        <v>1171619.0100000002</v>
      </c>
      <c r="AF427" s="76"/>
      <c r="AG427" s="76">
        <v>-10676.28</v>
      </c>
      <c r="AH427" s="76"/>
      <c r="AI427" s="76">
        <v>528770.18000000005</v>
      </c>
      <c r="AJ427" s="76"/>
      <c r="AK427" s="76">
        <v>518093.9</v>
      </c>
      <c r="AL427" s="24">
        <f>+'Gen Rev'!AI427-'Gen Exp'!AE427+'Gen Exp'!AI427-AK427</f>
        <v>0</v>
      </c>
      <c r="AM427" s="41" t="str">
        <f>'Gen Rev'!A427</f>
        <v>Moscow</v>
      </c>
      <c r="AN427" s="21" t="str">
        <f t="shared" si="43"/>
        <v>Moscow</v>
      </c>
      <c r="AO427" s="21" t="b">
        <f t="shared" si="44"/>
        <v>1</v>
      </c>
    </row>
    <row r="428" spans="1:41" ht="12" customHeight="1" x14ac:dyDescent="0.2">
      <c r="A428" s="1" t="s">
        <v>249</v>
      </c>
      <c r="C428" s="1" t="s">
        <v>811</v>
      </c>
      <c r="E428" s="76">
        <v>84622.28</v>
      </c>
      <c r="F428" s="76"/>
      <c r="G428" s="76">
        <v>3860.16</v>
      </c>
      <c r="H428" s="76"/>
      <c r="I428" s="76">
        <v>907.46</v>
      </c>
      <c r="J428" s="76"/>
      <c r="K428" s="76">
        <v>0</v>
      </c>
      <c r="L428" s="76"/>
      <c r="M428" s="76">
        <v>0</v>
      </c>
      <c r="N428" s="76"/>
      <c r="O428" s="76">
        <v>0</v>
      </c>
      <c r="P428" s="76"/>
      <c r="Q428" s="76">
        <v>72384.33</v>
      </c>
      <c r="R428" s="76"/>
      <c r="S428" s="76">
        <v>0</v>
      </c>
      <c r="T428" s="76"/>
      <c r="U428" s="76">
        <v>0</v>
      </c>
      <c r="V428" s="76"/>
      <c r="W428" s="76">
        <v>0</v>
      </c>
      <c r="X428" s="76"/>
      <c r="Y428" s="76">
        <v>15000</v>
      </c>
      <c r="Z428" s="76"/>
      <c r="AA428" s="76">
        <v>0</v>
      </c>
      <c r="AB428" s="76"/>
      <c r="AC428" s="76">
        <v>0</v>
      </c>
      <c r="AD428" s="76"/>
      <c r="AE428" s="76">
        <f t="shared" si="42"/>
        <v>176774.23</v>
      </c>
      <c r="AF428" s="76"/>
      <c r="AG428" s="76">
        <v>14282.31</v>
      </c>
      <c r="AH428" s="76"/>
      <c r="AI428" s="76">
        <v>112072.09</v>
      </c>
      <c r="AJ428" s="76"/>
      <c r="AK428" s="76">
        <v>126354.4</v>
      </c>
      <c r="AL428" s="24">
        <f>+'Gen Rev'!AI428-'Gen Exp'!AE428+'Gen Exp'!AI428-AK428</f>
        <v>0</v>
      </c>
      <c r="AM428" s="41" t="str">
        <f>'Gen Rev'!A428</f>
        <v>Mount Eaton</v>
      </c>
      <c r="AN428" s="21" t="str">
        <f t="shared" si="43"/>
        <v>Mount Eaton</v>
      </c>
      <c r="AO428" s="21" t="b">
        <f t="shared" si="44"/>
        <v>1</v>
      </c>
    </row>
    <row r="429" spans="1:41" s="21" customFormat="1" ht="12" customHeight="1" x14ac:dyDescent="0.2">
      <c r="A429" s="1" t="s">
        <v>141</v>
      </c>
      <c r="B429" s="1"/>
      <c r="C429" s="1" t="s">
        <v>778</v>
      </c>
      <c r="D429" s="49"/>
      <c r="E429" s="76">
        <v>335405.63</v>
      </c>
      <c r="F429" s="76"/>
      <c r="G429" s="76">
        <v>251.94</v>
      </c>
      <c r="H429" s="76"/>
      <c r="I429" s="76">
        <v>6771.6</v>
      </c>
      <c r="J429" s="76"/>
      <c r="K429" s="76">
        <v>10546.48</v>
      </c>
      <c r="L429" s="76"/>
      <c r="M429" s="76">
        <v>0</v>
      </c>
      <c r="N429" s="76"/>
      <c r="O429" s="76">
        <v>0</v>
      </c>
      <c r="P429" s="76"/>
      <c r="Q429" s="76">
        <v>242146.41</v>
      </c>
      <c r="R429" s="76"/>
      <c r="S429" s="76">
        <v>26055.7</v>
      </c>
      <c r="T429" s="76"/>
      <c r="U429" s="76">
        <v>0</v>
      </c>
      <c r="V429" s="76"/>
      <c r="W429" s="76">
        <v>0</v>
      </c>
      <c r="X429" s="76"/>
      <c r="Y429" s="76">
        <v>0</v>
      </c>
      <c r="Z429" s="76"/>
      <c r="AA429" s="76">
        <v>0</v>
      </c>
      <c r="AB429" s="76"/>
      <c r="AC429" s="76">
        <v>0</v>
      </c>
      <c r="AD429" s="76"/>
      <c r="AE429" s="76">
        <f t="shared" si="42"/>
        <v>621177.75999999989</v>
      </c>
      <c r="AF429" s="76"/>
      <c r="AG429" s="76">
        <v>145329.14000000001</v>
      </c>
      <c r="AH429" s="76"/>
      <c r="AI429" s="76">
        <v>94898.62</v>
      </c>
      <c r="AJ429" s="76"/>
      <c r="AK429" s="76">
        <v>240227.76</v>
      </c>
      <c r="AL429" s="24">
        <f>+'Gen Rev'!AI429-'Gen Exp'!AE429+'Gen Exp'!AI429-AK429</f>
        <v>0</v>
      </c>
      <c r="AM429" s="41" t="str">
        <f>'Gen Rev'!A429</f>
        <v>Mount Sterling</v>
      </c>
      <c r="AN429" s="21" t="str">
        <f t="shared" si="43"/>
        <v>Mount Sterling</v>
      </c>
      <c r="AO429" s="21" t="b">
        <f t="shared" ref="AO429:AO460" si="45">AM429=AN429</f>
        <v>1</v>
      </c>
    </row>
    <row r="430" spans="1:41" ht="12" customHeight="1" x14ac:dyDescent="0.2">
      <c r="A430" s="1" t="s">
        <v>99</v>
      </c>
      <c r="C430" s="1" t="s">
        <v>764</v>
      </c>
      <c r="D430" s="23"/>
      <c r="E430" s="76">
        <v>156.75</v>
      </c>
      <c r="F430" s="76"/>
      <c r="G430" s="76">
        <v>3128</v>
      </c>
      <c r="H430" s="76"/>
      <c r="I430" s="76">
        <v>7528.88</v>
      </c>
      <c r="J430" s="76"/>
      <c r="K430" s="76">
        <v>1254.8499999999999</v>
      </c>
      <c r="L430" s="76"/>
      <c r="M430" s="76">
        <v>0</v>
      </c>
      <c r="N430" s="76"/>
      <c r="O430" s="76">
        <v>1224</v>
      </c>
      <c r="P430" s="76"/>
      <c r="Q430" s="76">
        <v>50160.52</v>
      </c>
      <c r="R430" s="76"/>
      <c r="S430" s="76">
        <v>0</v>
      </c>
      <c r="T430" s="76"/>
      <c r="U430" s="76">
        <v>0</v>
      </c>
      <c r="V430" s="76"/>
      <c r="W430" s="76">
        <v>0</v>
      </c>
      <c r="X430" s="76"/>
      <c r="Y430" s="76">
        <v>0</v>
      </c>
      <c r="Z430" s="76"/>
      <c r="AA430" s="76">
        <v>0</v>
      </c>
      <c r="AB430" s="76"/>
      <c r="AC430" s="76">
        <v>69.489999999999995</v>
      </c>
      <c r="AD430" s="76"/>
      <c r="AE430" s="76">
        <f t="shared" si="42"/>
        <v>63522.49</v>
      </c>
      <c r="AF430" s="76"/>
      <c r="AG430" s="76">
        <v>-18552.740000000002</v>
      </c>
      <c r="AH430" s="76"/>
      <c r="AI430" s="76">
        <v>55244.52</v>
      </c>
      <c r="AJ430" s="76"/>
      <c r="AK430" s="76">
        <v>36691.78</v>
      </c>
      <c r="AL430" s="24">
        <f>+'Gen Rev'!AI430-'Gen Exp'!AE430+'Gen Exp'!AI430-AK430</f>
        <v>0</v>
      </c>
      <c r="AM430" s="41" t="str">
        <f>'Gen Rev'!A430</f>
        <v>Mount Victory</v>
      </c>
      <c r="AN430" s="21" t="str">
        <f t="shared" si="43"/>
        <v>Mount Victory</v>
      </c>
      <c r="AO430" s="21" t="b">
        <f t="shared" si="45"/>
        <v>1</v>
      </c>
    </row>
    <row r="431" spans="1:41" ht="12" customHeight="1" x14ac:dyDescent="0.2">
      <c r="A431" s="1" t="s">
        <v>410</v>
      </c>
      <c r="C431" s="1" t="s">
        <v>409</v>
      </c>
      <c r="E431" s="76">
        <v>0</v>
      </c>
      <c r="F431" s="76"/>
      <c r="G431" s="76">
        <v>0</v>
      </c>
      <c r="H431" s="76"/>
      <c r="I431" s="76">
        <v>0</v>
      </c>
      <c r="J431" s="76"/>
      <c r="K431" s="76">
        <v>0</v>
      </c>
      <c r="L431" s="76"/>
      <c r="M431" s="76">
        <v>19704.59</v>
      </c>
      <c r="N431" s="76"/>
      <c r="O431" s="76">
        <v>0</v>
      </c>
      <c r="P431" s="76"/>
      <c r="Q431" s="76">
        <v>37691.519999999997</v>
      </c>
      <c r="R431" s="76"/>
      <c r="S431" s="76">
        <v>0</v>
      </c>
      <c r="T431" s="76"/>
      <c r="U431" s="76">
        <v>0</v>
      </c>
      <c r="V431" s="76"/>
      <c r="W431" s="76">
        <v>0</v>
      </c>
      <c r="X431" s="76"/>
      <c r="Y431" s="76">
        <v>0</v>
      </c>
      <c r="Z431" s="76"/>
      <c r="AA431" s="76">
        <v>5000</v>
      </c>
      <c r="AB431" s="76"/>
      <c r="AC431" s="76">
        <v>0</v>
      </c>
      <c r="AD431" s="76"/>
      <c r="AE431" s="76">
        <f t="shared" si="42"/>
        <v>62396.11</v>
      </c>
      <c r="AF431" s="76"/>
      <c r="AG431" s="76">
        <v>-6908.68</v>
      </c>
      <c r="AH431" s="76"/>
      <c r="AI431" s="76">
        <v>15322.78</v>
      </c>
      <c r="AJ431" s="76"/>
      <c r="AK431" s="76">
        <v>8414.1</v>
      </c>
      <c r="AL431" s="24">
        <f>+'Gen Rev'!AI431-'Gen Exp'!AE431+'Gen Exp'!AI431-AK431</f>
        <v>0</v>
      </c>
      <c r="AM431" s="41" t="str">
        <f>'Gen Rev'!A431</f>
        <v>Mowrystown</v>
      </c>
      <c r="AN431" s="21" t="str">
        <f t="shared" si="43"/>
        <v>Mowrystown</v>
      </c>
      <c r="AO431" s="21" t="b">
        <f t="shared" si="45"/>
        <v>1</v>
      </c>
    </row>
    <row r="432" spans="1:41" s="21" customFormat="1" ht="12" customHeight="1" x14ac:dyDescent="0.2">
      <c r="A432" s="1"/>
      <c r="B432" s="1"/>
      <c r="C432" s="1"/>
      <c r="D432" s="23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24"/>
      <c r="AM432" s="41"/>
    </row>
    <row r="433" spans="1:41" s="21" customFormat="1" ht="12" customHeight="1" x14ac:dyDescent="0.2">
      <c r="A433" s="1"/>
      <c r="B433" s="1"/>
      <c r="C433" s="1"/>
      <c r="D433" s="23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 t="s">
        <v>850</v>
      </c>
      <c r="AF433" s="76"/>
      <c r="AG433" s="76"/>
      <c r="AH433" s="76"/>
      <c r="AI433" s="76"/>
      <c r="AJ433" s="76"/>
      <c r="AK433" s="76"/>
      <c r="AL433" s="24"/>
      <c r="AM433" s="41"/>
    </row>
    <row r="434" spans="1:41" s="21" customFormat="1" ht="12" customHeight="1" x14ac:dyDescent="0.2">
      <c r="A434" s="1"/>
      <c r="B434" s="1"/>
      <c r="C434" s="1"/>
      <c r="D434" s="23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24"/>
      <c r="AM434" s="41"/>
    </row>
    <row r="435" spans="1:41" s="21" customFormat="1" ht="12" customHeight="1" x14ac:dyDescent="0.2">
      <c r="A435" s="1" t="s">
        <v>390</v>
      </c>
      <c r="B435" s="1"/>
      <c r="C435" s="1" t="s">
        <v>388</v>
      </c>
      <c r="D435" s="23"/>
      <c r="E435" s="88">
        <v>0</v>
      </c>
      <c r="F435" s="88"/>
      <c r="G435" s="88">
        <v>221.4</v>
      </c>
      <c r="H435" s="88"/>
      <c r="I435" s="88">
        <v>0</v>
      </c>
      <c r="J435" s="88"/>
      <c r="K435" s="88">
        <v>4832.8999999999996</v>
      </c>
      <c r="L435" s="88"/>
      <c r="M435" s="88">
        <v>617.82000000000005</v>
      </c>
      <c r="N435" s="88"/>
      <c r="O435" s="88">
        <v>4684.8599999999997</v>
      </c>
      <c r="P435" s="88"/>
      <c r="Q435" s="88">
        <v>55206.85</v>
      </c>
      <c r="R435" s="88"/>
      <c r="S435" s="88">
        <v>0</v>
      </c>
      <c r="T435" s="88"/>
      <c r="U435" s="88">
        <v>1112.3</v>
      </c>
      <c r="V435" s="88"/>
      <c r="W435" s="88">
        <v>9.15</v>
      </c>
      <c r="X435" s="88"/>
      <c r="Y435" s="88">
        <v>14205</v>
      </c>
      <c r="Z435" s="88"/>
      <c r="AA435" s="88">
        <v>0</v>
      </c>
      <c r="AB435" s="88"/>
      <c r="AC435" s="88">
        <v>688.35</v>
      </c>
      <c r="AD435" s="88"/>
      <c r="AE435" s="88">
        <f t="shared" ref="AE435:AE466" si="46">SUM(E435:AC435)</f>
        <v>81578.63</v>
      </c>
      <c r="AF435" s="76"/>
      <c r="AG435" s="76">
        <v>-4424.1899999999996</v>
      </c>
      <c r="AH435" s="76"/>
      <c r="AI435" s="76">
        <v>26849.71</v>
      </c>
      <c r="AJ435" s="76"/>
      <c r="AK435" s="76">
        <v>22425.52</v>
      </c>
      <c r="AL435" s="24">
        <f>+'Gen Rev'!AI432-'Gen Exp'!AE435+'Gen Exp'!AI435-AK435</f>
        <v>0</v>
      </c>
      <c r="AM435" s="41" t="str">
        <f>'Gen Rev'!A432</f>
        <v>Mt. Blanchard</v>
      </c>
      <c r="AN435" s="21" t="str">
        <f t="shared" ref="AN435:AN466" si="47">A435</f>
        <v>Mt. Blanchard</v>
      </c>
      <c r="AO435" s="21" t="b">
        <f t="shared" ref="AO435:AO466" si="48">AM435=AN435</f>
        <v>1</v>
      </c>
    </row>
    <row r="436" spans="1:41" ht="12" customHeight="1" x14ac:dyDescent="0.2">
      <c r="A436" s="1" t="s">
        <v>391</v>
      </c>
      <c r="C436" s="1" t="s">
        <v>388</v>
      </c>
      <c r="E436" s="76">
        <v>8689</v>
      </c>
      <c r="F436" s="76"/>
      <c r="G436" s="76">
        <v>771</v>
      </c>
      <c r="H436" s="76"/>
      <c r="I436" s="76">
        <v>5346</v>
      </c>
      <c r="J436" s="76"/>
      <c r="K436" s="76">
        <v>0</v>
      </c>
      <c r="L436" s="76"/>
      <c r="M436" s="76">
        <v>4286</v>
      </c>
      <c r="N436" s="76"/>
      <c r="O436" s="76">
        <v>0</v>
      </c>
      <c r="P436" s="76"/>
      <c r="Q436" s="76">
        <v>30100</v>
      </c>
      <c r="R436" s="76"/>
      <c r="S436" s="76">
        <v>0</v>
      </c>
      <c r="T436" s="76"/>
      <c r="U436" s="76">
        <v>0</v>
      </c>
      <c r="V436" s="76"/>
      <c r="W436" s="76">
        <v>0</v>
      </c>
      <c r="X436" s="76"/>
      <c r="Y436" s="76">
        <v>0</v>
      </c>
      <c r="Z436" s="76"/>
      <c r="AA436" s="76">
        <v>0</v>
      </c>
      <c r="AB436" s="76"/>
      <c r="AC436" s="76">
        <v>0</v>
      </c>
      <c r="AD436" s="76"/>
      <c r="AE436" s="76">
        <f t="shared" si="46"/>
        <v>49192</v>
      </c>
      <c r="AF436" s="76"/>
      <c r="AG436" s="76">
        <v>-10471</v>
      </c>
      <c r="AH436" s="76"/>
      <c r="AI436" s="76">
        <v>15303</v>
      </c>
      <c r="AJ436" s="76"/>
      <c r="AK436" s="76">
        <v>4831</v>
      </c>
      <c r="AL436" s="24">
        <f>+'Gen Rev'!AI433-'Gen Exp'!AE436+'Gen Exp'!AI436-AK436</f>
        <v>0</v>
      </c>
      <c r="AM436" s="41" t="str">
        <f>'Gen Rev'!A433</f>
        <v>Mt. Cory</v>
      </c>
      <c r="AN436" s="21" t="str">
        <f t="shared" si="47"/>
        <v>Mt. Cory</v>
      </c>
      <c r="AO436" s="21" t="b">
        <f t="shared" si="48"/>
        <v>1</v>
      </c>
    </row>
    <row r="437" spans="1:41" ht="12" customHeight="1" x14ac:dyDescent="0.2">
      <c r="A437" s="1" t="s">
        <v>962</v>
      </c>
      <c r="C437" s="1" t="s">
        <v>243</v>
      </c>
      <c r="E437" s="76">
        <v>702264</v>
      </c>
      <c r="F437" s="76"/>
      <c r="G437" s="76">
        <v>3131</v>
      </c>
      <c r="H437" s="76"/>
      <c r="I437" s="76">
        <v>0</v>
      </c>
      <c r="J437" s="76"/>
      <c r="K437" s="76">
        <v>0</v>
      </c>
      <c r="L437" s="76"/>
      <c r="M437" s="76">
        <v>0</v>
      </c>
      <c r="N437" s="76"/>
      <c r="O437" s="76">
        <v>0</v>
      </c>
      <c r="P437" s="76"/>
      <c r="Q437" s="76">
        <v>169863</v>
      </c>
      <c r="R437" s="76"/>
      <c r="S437" s="76">
        <v>263947</v>
      </c>
      <c r="T437" s="76"/>
      <c r="U437" s="76">
        <v>0</v>
      </c>
      <c r="V437" s="76"/>
      <c r="W437" s="76">
        <v>0</v>
      </c>
      <c r="X437" s="76"/>
      <c r="Y437" s="76">
        <v>401195</v>
      </c>
      <c r="Z437" s="76"/>
      <c r="AA437" s="76">
        <v>0</v>
      </c>
      <c r="AB437" s="76"/>
      <c r="AC437" s="76">
        <v>0</v>
      </c>
      <c r="AD437" s="76"/>
      <c r="AE437" s="76">
        <f t="shared" si="46"/>
        <v>1540400</v>
      </c>
      <c r="AF437" s="76"/>
      <c r="AG437" s="76">
        <v>-184613</v>
      </c>
      <c r="AH437" s="76"/>
      <c r="AI437" s="76">
        <f>AK437-AG437</f>
        <v>2409067</v>
      </c>
      <c r="AJ437" s="76"/>
      <c r="AK437" s="76">
        <v>2224454</v>
      </c>
      <c r="AL437" s="24">
        <f>+'Gen Rev'!AI434-'Gen Exp'!AE437+'Gen Exp'!AI437-AK437</f>
        <v>0</v>
      </c>
      <c r="AM437" s="41" t="str">
        <f>'Gen Rev'!A434</f>
        <v>Mt. Gilead</v>
      </c>
      <c r="AN437" s="21" t="str">
        <f t="shared" si="47"/>
        <v>Mt. Gilead</v>
      </c>
      <c r="AO437" s="21" t="b">
        <f t="shared" si="48"/>
        <v>1</v>
      </c>
    </row>
    <row r="438" spans="1:41" ht="12" customHeight="1" x14ac:dyDescent="0.2">
      <c r="A438" s="1" t="s">
        <v>24</v>
      </c>
      <c r="C438" s="1" t="s">
        <v>742</v>
      </c>
      <c r="D438" s="23"/>
      <c r="E438" s="76">
        <v>610734.51</v>
      </c>
      <c r="F438" s="76"/>
      <c r="G438" s="76">
        <v>10421</v>
      </c>
      <c r="H438" s="76"/>
      <c r="I438" s="76">
        <v>25750.79</v>
      </c>
      <c r="J438" s="76"/>
      <c r="K438" s="76">
        <v>51854.97</v>
      </c>
      <c r="L438" s="76"/>
      <c r="M438" s="76">
        <v>0</v>
      </c>
      <c r="N438" s="76"/>
      <c r="O438" s="76">
        <v>151422.81</v>
      </c>
      <c r="P438" s="76"/>
      <c r="Q438" s="76">
        <v>224139.81</v>
      </c>
      <c r="R438" s="76"/>
      <c r="S438" s="76">
        <v>0</v>
      </c>
      <c r="T438" s="76"/>
      <c r="U438" s="76">
        <v>27651.53</v>
      </c>
      <c r="V438" s="76"/>
      <c r="W438" s="76">
        <v>0</v>
      </c>
      <c r="X438" s="76"/>
      <c r="Y438" s="76">
        <v>0</v>
      </c>
      <c r="Z438" s="76"/>
      <c r="AA438" s="76">
        <v>20685</v>
      </c>
      <c r="AB438" s="76"/>
      <c r="AC438" s="76">
        <v>8242.36</v>
      </c>
      <c r="AD438" s="76"/>
      <c r="AE438" s="76">
        <f t="shared" si="46"/>
        <v>1130902.7800000003</v>
      </c>
      <c r="AF438" s="76"/>
      <c r="AG438" s="76">
        <v>79335.67</v>
      </c>
      <c r="AH438" s="76"/>
      <c r="AI438" s="76">
        <v>177286.9</v>
      </c>
      <c r="AJ438" s="76"/>
      <c r="AK438" s="76">
        <v>256622.57</v>
      </c>
      <c r="AL438" s="24">
        <f>+'Gen Rev'!AI435-'Gen Exp'!AE438+'Gen Exp'!AI438-AK438</f>
        <v>-3.2014213502407074E-10</v>
      </c>
      <c r="AM438" s="41" t="str">
        <f>'Gen Rev'!A435</f>
        <v>Mt. Orab</v>
      </c>
      <c r="AN438" s="21" t="str">
        <f t="shared" si="47"/>
        <v>Mt. Orab</v>
      </c>
      <c r="AO438" s="21" t="b">
        <f t="shared" si="48"/>
        <v>1</v>
      </c>
    </row>
    <row r="439" spans="1:41" ht="12" customHeight="1" x14ac:dyDescent="0.2">
      <c r="A439" s="1" t="s">
        <v>112</v>
      </c>
      <c r="C439" s="1" t="s">
        <v>768</v>
      </c>
      <c r="E439" s="76">
        <v>27891.47</v>
      </c>
      <c r="F439" s="76"/>
      <c r="G439" s="76">
        <v>0</v>
      </c>
      <c r="H439" s="76"/>
      <c r="I439" s="76">
        <v>0</v>
      </c>
      <c r="J439" s="76"/>
      <c r="K439" s="76">
        <v>0</v>
      </c>
      <c r="L439" s="76"/>
      <c r="M439" s="76">
        <v>0</v>
      </c>
      <c r="N439" s="76"/>
      <c r="O439" s="76">
        <v>0</v>
      </c>
      <c r="P439" s="76"/>
      <c r="Q439" s="76">
        <v>55285.57</v>
      </c>
      <c r="R439" s="76"/>
      <c r="S439" s="76">
        <v>0</v>
      </c>
      <c r="T439" s="76"/>
      <c r="U439" s="76">
        <v>1051.43</v>
      </c>
      <c r="V439" s="76"/>
      <c r="W439" s="76">
        <v>0</v>
      </c>
      <c r="X439" s="76"/>
      <c r="Y439" s="76">
        <v>0</v>
      </c>
      <c r="Z439" s="76"/>
      <c r="AA439" s="76">
        <v>0</v>
      </c>
      <c r="AB439" s="76"/>
      <c r="AC439" s="76">
        <v>0</v>
      </c>
      <c r="AD439" s="76"/>
      <c r="AE439" s="76">
        <f t="shared" si="46"/>
        <v>84228.47</v>
      </c>
      <c r="AF439" s="76"/>
      <c r="AG439" s="76">
        <v>-23716.16</v>
      </c>
      <c r="AH439" s="76"/>
      <c r="AI439" s="76">
        <v>59335.15</v>
      </c>
      <c r="AJ439" s="76"/>
      <c r="AK439" s="76">
        <v>35618.99</v>
      </c>
      <c r="AL439" s="24">
        <f>+'Gen Rev'!AI436-'Gen Exp'!AE439+'Gen Exp'!AI439-AK439</f>
        <v>0</v>
      </c>
      <c r="AM439" s="41" t="str">
        <f>'Gen Rev'!A436</f>
        <v>Murray City</v>
      </c>
      <c r="AN439" s="21" t="str">
        <f t="shared" si="47"/>
        <v>Murray City</v>
      </c>
      <c r="AO439" s="21" t="b">
        <f t="shared" si="48"/>
        <v>1</v>
      </c>
    </row>
    <row r="440" spans="1:41" s="21" customFormat="1" ht="12" customHeight="1" x14ac:dyDescent="0.2">
      <c r="A440" s="1" t="s">
        <v>288</v>
      </c>
      <c r="B440" s="1"/>
      <c r="C440" s="1" t="s">
        <v>287</v>
      </c>
      <c r="D440" s="1"/>
      <c r="E440" s="76">
        <v>2531.61</v>
      </c>
      <c r="F440" s="76"/>
      <c r="G440" s="76">
        <v>0</v>
      </c>
      <c r="H440" s="76"/>
      <c r="I440" s="76">
        <v>0</v>
      </c>
      <c r="J440" s="76"/>
      <c r="K440" s="76">
        <v>0</v>
      </c>
      <c r="L440" s="76"/>
      <c r="M440" s="76">
        <v>0</v>
      </c>
      <c r="N440" s="76"/>
      <c r="O440" s="76">
        <v>0</v>
      </c>
      <c r="P440" s="76"/>
      <c r="Q440" s="76">
        <v>6685.12</v>
      </c>
      <c r="R440" s="76"/>
      <c r="S440" s="76">
        <v>0</v>
      </c>
      <c r="T440" s="76"/>
      <c r="U440" s="76">
        <v>0</v>
      </c>
      <c r="V440" s="76"/>
      <c r="W440" s="76">
        <v>0</v>
      </c>
      <c r="X440" s="76"/>
      <c r="Y440" s="76">
        <v>0</v>
      </c>
      <c r="Z440" s="76"/>
      <c r="AA440" s="76">
        <v>0</v>
      </c>
      <c r="AB440" s="76"/>
      <c r="AC440" s="76">
        <v>0</v>
      </c>
      <c r="AD440" s="76"/>
      <c r="AE440" s="76">
        <f t="shared" si="46"/>
        <v>9216.73</v>
      </c>
      <c r="AF440" s="76"/>
      <c r="AG440" s="76">
        <v>-2457.27</v>
      </c>
      <c r="AH440" s="76"/>
      <c r="AI440" s="76">
        <v>16178.26</v>
      </c>
      <c r="AJ440" s="76"/>
      <c r="AK440" s="76">
        <v>13720.99</v>
      </c>
      <c r="AL440" s="24">
        <f>+'Gen Rev'!AI437-'Gen Exp'!AE440+'Gen Exp'!AI440-AK440</f>
        <v>0</v>
      </c>
      <c r="AM440" s="41" t="str">
        <f>'Gen Rev'!A437</f>
        <v>Mutual</v>
      </c>
      <c r="AN440" s="21" t="str">
        <f t="shared" si="47"/>
        <v>Mutual</v>
      </c>
      <c r="AO440" s="21" t="b">
        <f t="shared" si="48"/>
        <v>1</v>
      </c>
    </row>
    <row r="441" spans="1:41" s="21" customFormat="1" ht="12" customHeight="1" x14ac:dyDescent="0.2">
      <c r="A441" s="1" t="s">
        <v>931</v>
      </c>
      <c r="B441" s="1"/>
      <c r="C441" s="1" t="s">
        <v>412</v>
      </c>
      <c r="D441" s="1"/>
      <c r="E441" s="76">
        <v>9368.27</v>
      </c>
      <c r="F441" s="76"/>
      <c r="G441" s="76">
        <v>432.72</v>
      </c>
      <c r="H441" s="76"/>
      <c r="I441" s="76">
        <v>0</v>
      </c>
      <c r="J441" s="76"/>
      <c r="K441" s="76">
        <v>0</v>
      </c>
      <c r="L441" s="76"/>
      <c r="M441" s="76">
        <v>0</v>
      </c>
      <c r="N441" s="76"/>
      <c r="O441" s="76">
        <v>0</v>
      </c>
      <c r="P441" s="76"/>
      <c r="Q441" s="76">
        <v>27579.01</v>
      </c>
      <c r="R441" s="76"/>
      <c r="S441" s="76">
        <v>0</v>
      </c>
      <c r="T441" s="76"/>
      <c r="U441" s="76">
        <v>9166.14</v>
      </c>
      <c r="V441" s="76"/>
      <c r="W441" s="76">
        <v>0</v>
      </c>
      <c r="X441" s="76"/>
      <c r="Y441" s="76">
        <v>2427</v>
      </c>
      <c r="Z441" s="76"/>
      <c r="AA441" s="76">
        <v>0</v>
      </c>
      <c r="AB441" s="76"/>
      <c r="AC441" s="76">
        <v>0</v>
      </c>
      <c r="AD441" s="76"/>
      <c r="AE441" s="76">
        <f t="shared" si="46"/>
        <v>48973.14</v>
      </c>
      <c r="AF441" s="76"/>
      <c r="AG441" s="76">
        <v>-8429.6200000000008</v>
      </c>
      <c r="AH441" s="76"/>
      <c r="AI441" s="76">
        <v>25644.5</v>
      </c>
      <c r="AJ441" s="76"/>
      <c r="AK441" s="76">
        <v>17214.88</v>
      </c>
      <c r="AL441" s="24">
        <f>+'Gen Rev'!AI438-'Gen Exp'!AE441+'Gen Exp'!AI441-AK441</f>
        <v>0</v>
      </c>
      <c r="AM441" s="41" t="str">
        <f>'Gen Rev'!A438</f>
        <v>Nashville</v>
      </c>
      <c r="AN441" s="21" t="str">
        <f t="shared" si="47"/>
        <v>Nashville</v>
      </c>
      <c r="AO441" s="21" t="b">
        <f t="shared" si="48"/>
        <v>1</v>
      </c>
    </row>
    <row r="442" spans="1:41" ht="12" customHeight="1" x14ac:dyDescent="0.2">
      <c r="A442" s="1" t="s">
        <v>546</v>
      </c>
      <c r="C442" s="1" t="s">
        <v>540</v>
      </c>
      <c r="E442" s="76">
        <v>502234</v>
      </c>
      <c r="F442" s="76"/>
      <c r="G442" s="76">
        <v>8308</v>
      </c>
      <c r="H442" s="76"/>
      <c r="I442" s="76">
        <v>20473</v>
      </c>
      <c r="J442" s="76"/>
      <c r="K442" s="76">
        <v>4314</v>
      </c>
      <c r="L442" s="76"/>
      <c r="M442" s="76">
        <v>1484</v>
      </c>
      <c r="N442" s="76"/>
      <c r="O442" s="76">
        <v>0</v>
      </c>
      <c r="P442" s="76"/>
      <c r="Q442" s="76">
        <v>162434</v>
      </c>
      <c r="R442" s="76"/>
      <c r="S442" s="76">
        <v>0</v>
      </c>
      <c r="T442" s="76"/>
      <c r="U442" s="76">
        <v>0</v>
      </c>
      <c r="V442" s="76"/>
      <c r="W442" s="76">
        <v>0</v>
      </c>
      <c r="X442" s="76"/>
      <c r="Y442" s="76">
        <v>0</v>
      </c>
      <c r="Z442" s="76"/>
      <c r="AA442" s="76">
        <v>0</v>
      </c>
      <c r="AB442" s="76"/>
      <c r="AC442" s="76">
        <v>0</v>
      </c>
      <c r="AD442" s="76"/>
      <c r="AE442" s="76">
        <f t="shared" si="46"/>
        <v>699247</v>
      </c>
      <c r="AF442" s="76"/>
      <c r="AG442" s="76">
        <v>-46216</v>
      </c>
      <c r="AH442" s="76"/>
      <c r="AI442" s="76">
        <v>62401</v>
      </c>
      <c r="AJ442" s="76"/>
      <c r="AK442" s="76">
        <v>16185</v>
      </c>
      <c r="AL442" s="24">
        <f>+'Gen Rev'!AI439-'Gen Exp'!AE442+'Gen Exp'!AI442-AK442</f>
        <v>0</v>
      </c>
      <c r="AM442" s="41" t="str">
        <f>'Gen Rev'!A439</f>
        <v>Navarre</v>
      </c>
      <c r="AN442" s="21" t="str">
        <f t="shared" si="47"/>
        <v>Navarre</v>
      </c>
      <c r="AO442" s="21" t="b">
        <f t="shared" si="48"/>
        <v>1</v>
      </c>
    </row>
    <row r="443" spans="1:41" ht="12" customHeight="1" x14ac:dyDescent="0.2">
      <c r="A443" s="1" t="s">
        <v>309</v>
      </c>
      <c r="C443" s="1" t="s">
        <v>308</v>
      </c>
      <c r="E443" s="76">
        <v>287</v>
      </c>
      <c r="F443" s="76"/>
      <c r="G443" s="76">
        <v>40</v>
      </c>
      <c r="H443" s="76"/>
      <c r="I443" s="76">
        <v>425</v>
      </c>
      <c r="J443" s="76"/>
      <c r="K443" s="76">
        <v>0</v>
      </c>
      <c r="L443" s="76"/>
      <c r="M443" s="76">
        <v>8269</v>
      </c>
      <c r="N443" s="76"/>
      <c r="O443" s="76">
        <v>0</v>
      </c>
      <c r="P443" s="76"/>
      <c r="Q443" s="76">
        <v>0</v>
      </c>
      <c r="R443" s="76"/>
      <c r="S443" s="76">
        <v>0</v>
      </c>
      <c r="T443" s="76"/>
      <c r="U443" s="76">
        <v>0</v>
      </c>
      <c r="V443" s="76"/>
      <c r="W443" s="76">
        <v>0</v>
      </c>
      <c r="X443" s="76"/>
      <c r="Y443" s="76">
        <v>0</v>
      </c>
      <c r="Z443" s="76"/>
      <c r="AA443" s="76">
        <v>0</v>
      </c>
      <c r="AB443" s="76"/>
      <c r="AC443" s="76">
        <v>0</v>
      </c>
      <c r="AD443" s="76"/>
      <c r="AE443" s="76">
        <f t="shared" si="46"/>
        <v>9021</v>
      </c>
      <c r="AF443" s="76"/>
      <c r="AG443" s="76">
        <v>6798</v>
      </c>
      <c r="AH443" s="76"/>
      <c r="AI443" s="76">
        <v>4518</v>
      </c>
      <c r="AJ443" s="76"/>
      <c r="AK443" s="76">
        <v>11316</v>
      </c>
      <c r="AL443" s="24">
        <f>+'Gen Rev'!AI440-'Gen Exp'!AE443+'Gen Exp'!AI443-AK443</f>
        <v>0</v>
      </c>
      <c r="AM443" s="41" t="str">
        <f>'Gen Rev'!A440</f>
        <v>Nellie</v>
      </c>
      <c r="AN443" s="21" t="str">
        <f t="shared" si="47"/>
        <v>Nellie</v>
      </c>
      <c r="AO443" s="21" t="b">
        <f t="shared" si="48"/>
        <v>1</v>
      </c>
    </row>
    <row r="444" spans="1:41" s="21" customFormat="1" ht="12" customHeight="1" x14ac:dyDescent="0.2">
      <c r="A444" s="1" t="s">
        <v>610</v>
      </c>
      <c r="B444" s="1"/>
      <c r="C444" s="1" t="s">
        <v>609</v>
      </c>
      <c r="D444" s="1"/>
      <c r="E444" s="76">
        <v>8677</v>
      </c>
      <c r="F444" s="76"/>
      <c r="G444" s="76">
        <v>3121</v>
      </c>
      <c r="H444" s="76"/>
      <c r="I444" s="76">
        <v>1894</v>
      </c>
      <c r="J444" s="76"/>
      <c r="K444" s="76">
        <v>203</v>
      </c>
      <c r="L444" s="76"/>
      <c r="M444" s="76">
        <v>390</v>
      </c>
      <c r="N444" s="76"/>
      <c r="O444" s="76">
        <v>0</v>
      </c>
      <c r="P444" s="76"/>
      <c r="Q444" s="76">
        <v>30269</v>
      </c>
      <c r="R444" s="76"/>
      <c r="S444" s="76">
        <v>0</v>
      </c>
      <c r="T444" s="76"/>
      <c r="U444" s="76">
        <v>0</v>
      </c>
      <c r="V444" s="76"/>
      <c r="W444" s="76">
        <v>0</v>
      </c>
      <c r="X444" s="76"/>
      <c r="Y444" s="76">
        <v>0</v>
      </c>
      <c r="Z444" s="76"/>
      <c r="AA444" s="76">
        <v>0</v>
      </c>
      <c r="AB444" s="76"/>
      <c r="AC444" s="76">
        <v>0</v>
      </c>
      <c r="AD444" s="76"/>
      <c r="AE444" s="76">
        <f t="shared" si="46"/>
        <v>44554</v>
      </c>
      <c r="AF444" s="76"/>
      <c r="AG444" s="76">
        <v>-9917</v>
      </c>
      <c r="AH444" s="76"/>
      <c r="AI444" s="76">
        <v>18133</v>
      </c>
      <c r="AJ444" s="76"/>
      <c r="AK444" s="76">
        <v>8216</v>
      </c>
      <c r="AL444" s="24">
        <f>+'Gen Rev'!AI441-'Gen Exp'!AE444+'Gen Exp'!AI444-AK444</f>
        <v>0</v>
      </c>
      <c r="AM444" s="41" t="str">
        <f>'Gen Rev'!A441</f>
        <v>Nevada</v>
      </c>
      <c r="AN444" s="21" t="str">
        <f t="shared" si="47"/>
        <v>Nevada</v>
      </c>
      <c r="AO444" s="21" t="b">
        <f t="shared" si="48"/>
        <v>1</v>
      </c>
    </row>
    <row r="445" spans="1:41" s="21" customFormat="1" ht="12" customHeight="1" x14ac:dyDescent="0.2">
      <c r="A445" s="1" t="s">
        <v>37</v>
      </c>
      <c r="B445" s="1"/>
      <c r="C445" s="1" t="s">
        <v>747</v>
      </c>
      <c r="D445" s="23"/>
      <c r="E445" s="76">
        <v>2572.65</v>
      </c>
      <c r="F445" s="76"/>
      <c r="G445" s="76">
        <v>0</v>
      </c>
      <c r="H445" s="76"/>
      <c r="I445" s="76">
        <v>0</v>
      </c>
      <c r="J445" s="76"/>
      <c r="K445" s="76">
        <v>0</v>
      </c>
      <c r="L445" s="76"/>
      <c r="M445" s="76">
        <v>6244.9</v>
      </c>
      <c r="N445" s="76"/>
      <c r="O445" s="76">
        <v>0</v>
      </c>
      <c r="P445" s="76"/>
      <c r="Q445" s="76">
        <v>25001.54</v>
      </c>
      <c r="R445" s="76"/>
      <c r="S445" s="76">
        <v>0</v>
      </c>
      <c r="T445" s="76"/>
      <c r="U445" s="76">
        <v>0</v>
      </c>
      <c r="V445" s="76"/>
      <c r="W445" s="76">
        <v>0</v>
      </c>
      <c r="X445" s="76"/>
      <c r="Y445" s="76">
        <v>0</v>
      </c>
      <c r="Z445" s="76"/>
      <c r="AA445" s="76">
        <v>0</v>
      </c>
      <c r="AB445" s="76"/>
      <c r="AC445" s="76">
        <v>0</v>
      </c>
      <c r="AD445" s="76"/>
      <c r="AE445" s="76">
        <f t="shared" si="46"/>
        <v>33819.089999999997</v>
      </c>
      <c r="AF445" s="76"/>
      <c r="AG445" s="76">
        <v>-10103.950000000001</v>
      </c>
      <c r="AH445" s="76"/>
      <c r="AI445" s="76">
        <v>13000.87</v>
      </c>
      <c r="AJ445" s="76"/>
      <c r="AK445" s="76">
        <v>2896.92</v>
      </c>
      <c r="AL445" s="24">
        <f>+'Gen Rev'!AI442-'Gen Exp'!AE445+'Gen Exp'!AI445-AK445</f>
        <v>3.637978807091713E-12</v>
      </c>
      <c r="AM445" s="41" t="str">
        <f>'Gen Rev'!A442</f>
        <v>Neville</v>
      </c>
      <c r="AN445" s="21" t="str">
        <f t="shared" si="47"/>
        <v>Neville</v>
      </c>
      <c r="AO445" s="21" t="b">
        <f t="shared" si="48"/>
        <v>1</v>
      </c>
    </row>
    <row r="446" spans="1:41" s="10" customFormat="1" ht="12" hidden="1" customHeight="1" x14ac:dyDescent="0.2">
      <c r="A446" s="1" t="s">
        <v>355</v>
      </c>
      <c r="B446" s="1"/>
      <c r="C446" s="1" t="s">
        <v>353</v>
      </c>
      <c r="D446" s="21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>
        <f t="shared" si="46"/>
        <v>0</v>
      </c>
      <c r="AF446" s="76"/>
      <c r="AG446" s="76"/>
      <c r="AH446" s="76"/>
      <c r="AI446" s="76"/>
      <c r="AJ446" s="76"/>
      <c r="AK446" s="76"/>
      <c r="AL446" s="24">
        <f>+'Gen Rev'!AI443-'Gen Exp'!AE446+'Gen Exp'!AI446-AK446</f>
        <v>0</v>
      </c>
      <c r="AM446" s="41" t="str">
        <f>'Gen Rev'!A443</f>
        <v>New Albany</v>
      </c>
      <c r="AN446" s="21" t="str">
        <f t="shared" si="47"/>
        <v>New Albany</v>
      </c>
      <c r="AO446" s="21" t="b">
        <f t="shared" si="48"/>
        <v>1</v>
      </c>
    </row>
    <row r="447" spans="1:41" ht="12" customHeight="1" x14ac:dyDescent="0.2">
      <c r="A447" s="1" t="s">
        <v>103</v>
      </c>
      <c r="C447" s="1" t="s">
        <v>765</v>
      </c>
      <c r="D447" s="23"/>
      <c r="E447" s="76">
        <v>9579.9500000000007</v>
      </c>
      <c r="F447" s="76"/>
      <c r="G447" s="76">
        <v>0</v>
      </c>
      <c r="H447" s="76"/>
      <c r="I447" s="76">
        <v>0</v>
      </c>
      <c r="J447" s="76"/>
      <c r="K447" s="76">
        <v>0</v>
      </c>
      <c r="L447" s="76"/>
      <c r="M447" s="76">
        <v>0</v>
      </c>
      <c r="N447" s="76"/>
      <c r="O447" s="76">
        <v>0</v>
      </c>
      <c r="P447" s="76"/>
      <c r="Q447" s="76">
        <v>13829.39</v>
      </c>
      <c r="R447" s="76"/>
      <c r="S447" s="76">
        <v>0</v>
      </c>
      <c r="T447" s="76"/>
      <c r="U447" s="76">
        <v>0</v>
      </c>
      <c r="V447" s="76"/>
      <c r="W447" s="76">
        <v>0</v>
      </c>
      <c r="X447" s="76"/>
      <c r="Y447" s="76">
        <v>0</v>
      </c>
      <c r="Z447" s="76"/>
      <c r="AA447" s="76">
        <v>0</v>
      </c>
      <c r="AB447" s="76"/>
      <c r="AC447" s="76">
        <v>6725.61</v>
      </c>
      <c r="AD447" s="76"/>
      <c r="AE447" s="76">
        <f t="shared" si="46"/>
        <v>30134.95</v>
      </c>
      <c r="AF447" s="76"/>
      <c r="AG447" s="76">
        <v>12249.79</v>
      </c>
      <c r="AH447" s="76"/>
      <c r="AI447" s="76">
        <v>4934.1499999999996</v>
      </c>
      <c r="AJ447" s="76"/>
      <c r="AK447" s="76">
        <v>17183.939999999999</v>
      </c>
      <c r="AL447" s="24">
        <f>+'Gen Rev'!AI444-'Gen Exp'!AE447+'Gen Exp'!AI447-AK447</f>
        <v>0</v>
      </c>
      <c r="AM447" s="41" t="str">
        <f>'Gen Rev'!A444</f>
        <v>New Athens</v>
      </c>
      <c r="AN447" s="21" t="str">
        <f t="shared" si="47"/>
        <v>New Athens</v>
      </c>
      <c r="AO447" s="21" t="b">
        <f t="shared" si="48"/>
        <v>1</v>
      </c>
    </row>
    <row r="448" spans="1:41" ht="12" customHeight="1" x14ac:dyDescent="0.2">
      <c r="A448" s="1" t="s">
        <v>109</v>
      </c>
      <c r="C448" s="1" t="s">
        <v>766</v>
      </c>
      <c r="D448" s="23"/>
      <c r="E448" s="76">
        <v>3504.2</v>
      </c>
      <c r="F448" s="76"/>
      <c r="G448" s="76">
        <v>0</v>
      </c>
      <c r="H448" s="76"/>
      <c r="I448" s="76">
        <v>1620.73</v>
      </c>
      <c r="J448" s="76"/>
      <c r="K448" s="76">
        <v>0</v>
      </c>
      <c r="L448" s="76"/>
      <c r="M448" s="76">
        <v>0</v>
      </c>
      <c r="N448" s="76"/>
      <c r="O448" s="76">
        <v>0</v>
      </c>
      <c r="P448" s="76"/>
      <c r="Q448" s="76">
        <v>8667.26</v>
      </c>
      <c r="R448" s="76"/>
      <c r="S448" s="76">
        <v>0</v>
      </c>
      <c r="T448" s="76"/>
      <c r="U448" s="76">
        <v>0</v>
      </c>
      <c r="V448" s="76"/>
      <c r="W448" s="76">
        <v>0</v>
      </c>
      <c r="X448" s="76"/>
      <c r="Y448" s="76">
        <v>0</v>
      </c>
      <c r="Z448" s="76"/>
      <c r="AA448" s="76">
        <v>0</v>
      </c>
      <c r="AB448" s="76"/>
      <c r="AC448" s="76">
        <v>0</v>
      </c>
      <c r="AD448" s="76"/>
      <c r="AE448" s="76">
        <f t="shared" si="46"/>
        <v>13792.19</v>
      </c>
      <c r="AF448" s="76"/>
      <c r="AG448" s="76">
        <v>10760.49</v>
      </c>
      <c r="AH448" s="76"/>
      <c r="AI448" s="76">
        <v>-20575.599999999999</v>
      </c>
      <c r="AJ448" s="76"/>
      <c r="AK448" s="76">
        <v>-9815.11</v>
      </c>
      <c r="AL448" s="24">
        <f>+'Gen Rev'!AI445-'Gen Exp'!AE448+'Gen Exp'!AI448-AK448</f>
        <v>0</v>
      </c>
      <c r="AM448" s="41" t="str">
        <f>'Gen Rev'!A445</f>
        <v>New Bavaria</v>
      </c>
      <c r="AN448" s="21" t="str">
        <f t="shared" si="47"/>
        <v>New Bavaria</v>
      </c>
      <c r="AO448" s="21" t="b">
        <f t="shared" si="48"/>
        <v>1</v>
      </c>
    </row>
    <row r="449" spans="1:41" s="21" customFormat="1" ht="12" customHeight="1" x14ac:dyDescent="0.2">
      <c r="A449" s="1" t="s">
        <v>149</v>
      </c>
      <c r="B449" s="1"/>
      <c r="C449" s="1" t="s">
        <v>463</v>
      </c>
      <c r="D449" s="23"/>
      <c r="E449" s="76">
        <v>5373.64</v>
      </c>
      <c r="F449" s="76"/>
      <c r="G449" s="76">
        <v>0</v>
      </c>
      <c r="H449" s="76"/>
      <c r="I449" s="76">
        <v>592.71</v>
      </c>
      <c r="J449" s="76"/>
      <c r="K449" s="76">
        <v>0</v>
      </c>
      <c r="L449" s="76"/>
      <c r="M449" s="76">
        <v>0</v>
      </c>
      <c r="N449" s="76"/>
      <c r="O449" s="76">
        <v>0</v>
      </c>
      <c r="P449" s="76"/>
      <c r="Q449" s="76">
        <v>34586.949999999997</v>
      </c>
      <c r="R449" s="76"/>
      <c r="S449" s="76">
        <v>0</v>
      </c>
      <c r="T449" s="76"/>
      <c r="U449" s="76">
        <v>0</v>
      </c>
      <c r="V449" s="76"/>
      <c r="W449" s="76">
        <v>0</v>
      </c>
      <c r="X449" s="76"/>
      <c r="Y449" s="76">
        <v>37.74</v>
      </c>
      <c r="Z449" s="76"/>
      <c r="AA449" s="76">
        <v>0</v>
      </c>
      <c r="AB449" s="76"/>
      <c r="AC449" s="76">
        <v>1452.06</v>
      </c>
      <c r="AD449" s="76"/>
      <c r="AE449" s="76">
        <f t="shared" si="46"/>
        <v>42043.099999999991</v>
      </c>
      <c r="AF449" s="76"/>
      <c r="AG449" s="76">
        <v>716.18</v>
      </c>
      <c r="AH449" s="76"/>
      <c r="AI449" s="76">
        <v>83148.13</v>
      </c>
      <c r="AJ449" s="76"/>
      <c r="AK449" s="76">
        <v>83864.31</v>
      </c>
      <c r="AL449" s="24">
        <f>+'Gen Rev'!AI446-'Gen Exp'!AE449+'Gen Exp'!AI449-AK449</f>
        <v>0</v>
      </c>
      <c r="AM449" s="41" t="str">
        <f>'Gen Rev'!A446</f>
        <v>New Bloomington</v>
      </c>
      <c r="AN449" s="21" t="str">
        <f t="shared" si="47"/>
        <v>New Bloomington</v>
      </c>
      <c r="AO449" s="21" t="b">
        <f t="shared" si="48"/>
        <v>1</v>
      </c>
    </row>
    <row r="450" spans="1:41" ht="12" customHeight="1" x14ac:dyDescent="0.2">
      <c r="A450" s="1" t="s">
        <v>528</v>
      </c>
      <c r="C450" s="1" t="s">
        <v>529</v>
      </c>
      <c r="D450" s="23"/>
      <c r="E450" s="76">
        <v>485471.86</v>
      </c>
      <c r="F450" s="76"/>
      <c r="G450" s="76">
        <v>19495.21</v>
      </c>
      <c r="H450" s="76"/>
      <c r="I450" s="76">
        <v>27936.52</v>
      </c>
      <c r="J450" s="76"/>
      <c r="K450" s="76">
        <v>0</v>
      </c>
      <c r="L450" s="76"/>
      <c r="M450" s="76">
        <v>172542.48</v>
      </c>
      <c r="N450" s="76"/>
      <c r="O450" s="76">
        <v>43247.65</v>
      </c>
      <c r="P450" s="76"/>
      <c r="Q450" s="76">
        <v>955836.26</v>
      </c>
      <c r="R450" s="76"/>
      <c r="S450" s="76">
        <v>23978.29</v>
      </c>
      <c r="T450" s="76"/>
      <c r="U450" s="76">
        <v>0</v>
      </c>
      <c r="V450" s="76"/>
      <c r="W450" s="76">
        <v>0</v>
      </c>
      <c r="X450" s="76"/>
      <c r="Y450" s="76">
        <v>44500</v>
      </c>
      <c r="Z450" s="76"/>
      <c r="AA450" s="76">
        <v>0</v>
      </c>
      <c r="AB450" s="76"/>
      <c r="AC450" s="76">
        <v>0</v>
      </c>
      <c r="AD450" s="76"/>
      <c r="AE450" s="76">
        <f t="shared" si="46"/>
        <v>1773008.27</v>
      </c>
      <c r="AF450" s="76"/>
      <c r="AG450" s="76">
        <v>-12995.41</v>
      </c>
      <c r="AH450" s="76"/>
      <c r="AI450" s="76">
        <v>271930.23999999999</v>
      </c>
      <c r="AJ450" s="76"/>
      <c r="AK450" s="76">
        <v>258934.83</v>
      </c>
      <c r="AL450" s="24">
        <f>+'Gen Rev'!AI447-'Gen Exp'!AE450+'Gen Exp'!AI450-AK450</f>
        <v>0</v>
      </c>
      <c r="AM450" s="41" t="str">
        <f>'Gen Rev'!A447</f>
        <v>New Boston</v>
      </c>
      <c r="AN450" s="21" t="str">
        <f t="shared" si="47"/>
        <v>New Boston</v>
      </c>
      <c r="AO450" s="21" t="b">
        <f t="shared" si="48"/>
        <v>1</v>
      </c>
    </row>
    <row r="451" spans="1:41" s="21" customFormat="1" ht="12" customHeight="1" x14ac:dyDescent="0.2">
      <c r="A451" s="1" t="s">
        <v>277</v>
      </c>
      <c r="B451" s="1"/>
      <c r="C451" s="1" t="s">
        <v>275</v>
      </c>
      <c r="D451" s="1"/>
      <c r="E451" s="76">
        <v>750114</v>
      </c>
      <c r="F451" s="76"/>
      <c r="G451" s="76">
        <v>277</v>
      </c>
      <c r="H451" s="76"/>
      <c r="I451" s="76">
        <v>224015</v>
      </c>
      <c r="J451" s="76"/>
      <c r="K451" s="76">
        <v>0</v>
      </c>
      <c r="L451" s="76"/>
      <c r="M451" s="76">
        <v>0</v>
      </c>
      <c r="N451" s="76"/>
      <c r="O451" s="76">
        <v>144576</v>
      </c>
      <c r="P451" s="76"/>
      <c r="Q451" s="76">
        <v>602886</v>
      </c>
      <c r="R451" s="76"/>
      <c r="S451" s="76">
        <v>1166036</v>
      </c>
      <c r="T451" s="76"/>
      <c r="U451" s="76">
        <v>0</v>
      </c>
      <c r="V451" s="76"/>
      <c r="W451" s="76">
        <v>0</v>
      </c>
      <c r="X451" s="76"/>
      <c r="Y451" s="76">
        <v>425000</v>
      </c>
      <c r="Z451" s="76"/>
      <c r="AA451" s="76">
        <v>0</v>
      </c>
      <c r="AB451" s="76"/>
      <c r="AC451" s="76">
        <v>0</v>
      </c>
      <c r="AD451" s="76"/>
      <c r="AE451" s="76">
        <f t="shared" si="46"/>
        <v>3312904</v>
      </c>
      <c r="AF451" s="76"/>
      <c r="AG451" s="76">
        <v>177081</v>
      </c>
      <c r="AH451" s="76"/>
      <c r="AI451" s="76">
        <v>1409396</v>
      </c>
      <c r="AJ451" s="76"/>
      <c r="AK451" s="76">
        <v>1586477</v>
      </c>
      <c r="AL451" s="24">
        <f>+'Gen Rev'!AI448-'Gen Exp'!AE451+'Gen Exp'!AI451-AK451</f>
        <v>0</v>
      </c>
      <c r="AM451" s="41" t="str">
        <f>'Gen Rev'!A448</f>
        <v>New Bremen</v>
      </c>
      <c r="AN451" s="21" t="str">
        <f t="shared" si="47"/>
        <v>New Bremen</v>
      </c>
      <c r="AO451" s="21" t="b">
        <f t="shared" si="48"/>
        <v>1</v>
      </c>
    </row>
    <row r="452" spans="1:41" ht="12" customHeight="1" x14ac:dyDescent="0.2">
      <c r="A452" s="1" t="s">
        <v>486</v>
      </c>
      <c r="C452" s="1" t="s">
        <v>484</v>
      </c>
      <c r="E452" s="76">
        <v>276249</v>
      </c>
      <c r="F452" s="76"/>
      <c r="G452" s="76">
        <v>0</v>
      </c>
      <c r="H452" s="76"/>
      <c r="I452" s="76">
        <v>0</v>
      </c>
      <c r="J452" s="76"/>
      <c r="K452" s="76">
        <v>0</v>
      </c>
      <c r="L452" s="76"/>
      <c r="M452" s="76">
        <v>0</v>
      </c>
      <c r="N452" s="76"/>
      <c r="O452" s="76">
        <v>0</v>
      </c>
      <c r="P452" s="76"/>
      <c r="Q452" s="76">
        <v>285149</v>
      </c>
      <c r="R452" s="76"/>
      <c r="S452" s="76">
        <v>5950</v>
      </c>
      <c r="T452" s="76"/>
      <c r="U452" s="76">
        <v>82686</v>
      </c>
      <c r="V452" s="76"/>
      <c r="W452" s="76">
        <v>0</v>
      </c>
      <c r="X452" s="76"/>
      <c r="Y452" s="76">
        <v>167080</v>
      </c>
      <c r="Z452" s="76"/>
      <c r="AA452" s="76">
        <v>112000</v>
      </c>
      <c r="AB452" s="76"/>
      <c r="AC452" s="76">
        <v>2251</v>
      </c>
      <c r="AD452" s="76"/>
      <c r="AE452" s="76">
        <f t="shared" si="46"/>
        <v>931365</v>
      </c>
      <c r="AF452" s="76"/>
      <c r="AG452" s="76">
        <v>13367</v>
      </c>
      <c r="AH452" s="76"/>
      <c r="AI452" s="76">
        <v>113981</v>
      </c>
      <c r="AJ452" s="76"/>
      <c r="AK452" s="76">
        <v>127347</v>
      </c>
      <c r="AL452" s="24">
        <f>+'Gen Rev'!AI449-'Gen Exp'!AE452+'Gen Exp'!AI452-AK452</f>
        <v>0</v>
      </c>
      <c r="AM452" s="41" t="str">
        <f>'Gen Rev'!A449</f>
        <v>New Concord</v>
      </c>
      <c r="AN452" s="21" t="str">
        <f t="shared" si="47"/>
        <v>New Concord</v>
      </c>
      <c r="AO452" s="21" t="b">
        <f t="shared" si="48"/>
        <v>1</v>
      </c>
    </row>
    <row r="453" spans="1:41" s="21" customFormat="1" ht="12" customHeight="1" x14ac:dyDescent="0.2">
      <c r="A453" s="1" t="s">
        <v>189</v>
      </c>
      <c r="B453" s="1"/>
      <c r="C453" s="1" t="s">
        <v>793</v>
      </c>
      <c r="D453" s="23"/>
      <c r="E453" s="76">
        <v>7106.61</v>
      </c>
      <c r="F453" s="76"/>
      <c r="G453" s="76">
        <v>0</v>
      </c>
      <c r="H453" s="76"/>
      <c r="I453" s="76">
        <v>0</v>
      </c>
      <c r="J453" s="76"/>
      <c r="K453" s="76">
        <v>50</v>
      </c>
      <c r="L453" s="76"/>
      <c r="M453" s="76">
        <v>0</v>
      </c>
      <c r="N453" s="76"/>
      <c r="O453" s="76">
        <v>0</v>
      </c>
      <c r="P453" s="76"/>
      <c r="Q453" s="76">
        <v>30347.74</v>
      </c>
      <c r="R453" s="76"/>
      <c r="S453" s="76">
        <v>6000</v>
      </c>
      <c r="T453" s="76"/>
      <c r="U453" s="76">
        <v>0</v>
      </c>
      <c r="V453" s="76"/>
      <c r="W453" s="76">
        <v>0</v>
      </c>
      <c r="X453" s="76"/>
      <c r="Y453" s="76">
        <v>0</v>
      </c>
      <c r="Z453" s="76"/>
      <c r="AA453" s="76">
        <v>15000</v>
      </c>
      <c r="AB453" s="76"/>
      <c r="AC453" s="76">
        <v>0</v>
      </c>
      <c r="AD453" s="76"/>
      <c r="AE453" s="76">
        <f t="shared" si="46"/>
        <v>58504.35</v>
      </c>
      <c r="AF453" s="76"/>
      <c r="AG453" s="76">
        <v>12658.26</v>
      </c>
      <c r="AH453" s="76"/>
      <c r="AI453" s="76">
        <v>82840.03</v>
      </c>
      <c r="AJ453" s="76"/>
      <c r="AK453" s="76">
        <v>95498.29</v>
      </c>
      <c r="AL453" s="24">
        <f>+'Gen Rev'!AI450-'Gen Exp'!AE453+'Gen Exp'!AI453-AK453</f>
        <v>0</v>
      </c>
      <c r="AM453" s="41" t="str">
        <f>'Gen Rev'!A450</f>
        <v>New Holland</v>
      </c>
      <c r="AN453" s="21" t="str">
        <f t="shared" si="47"/>
        <v>New Holland</v>
      </c>
      <c r="AO453" s="21" t="b">
        <f t="shared" si="48"/>
        <v>1</v>
      </c>
    </row>
    <row r="454" spans="1:41" ht="12" customHeight="1" x14ac:dyDescent="0.2">
      <c r="A454" s="1" t="s">
        <v>12</v>
      </c>
      <c r="C454" s="1" t="s">
        <v>740</v>
      </c>
      <c r="D454" s="23"/>
      <c r="E454" s="76">
        <v>70634.899999999994</v>
      </c>
      <c r="F454" s="76"/>
      <c r="G454" s="76">
        <v>48.96</v>
      </c>
      <c r="H454" s="76"/>
      <c r="I454" s="76">
        <v>26716.25</v>
      </c>
      <c r="J454" s="76"/>
      <c r="K454" s="76">
        <v>0</v>
      </c>
      <c r="L454" s="76"/>
      <c r="M454" s="76">
        <v>30770</v>
      </c>
      <c r="N454" s="76"/>
      <c r="O454" s="76">
        <v>0</v>
      </c>
      <c r="P454" s="76"/>
      <c r="Q454" s="76">
        <v>168278.08</v>
      </c>
      <c r="R454" s="76"/>
      <c r="S454" s="76">
        <v>0</v>
      </c>
      <c r="T454" s="76"/>
      <c r="U454" s="76">
        <v>0</v>
      </c>
      <c r="V454" s="76"/>
      <c r="W454" s="76">
        <v>0</v>
      </c>
      <c r="X454" s="76"/>
      <c r="Y454" s="76">
        <v>123889.93</v>
      </c>
      <c r="Z454" s="76"/>
      <c r="AA454" s="76">
        <v>0</v>
      </c>
      <c r="AB454" s="76"/>
      <c r="AC454" s="76">
        <v>0</v>
      </c>
      <c r="AD454" s="76"/>
      <c r="AE454" s="76">
        <f t="shared" si="46"/>
        <v>420338.12</v>
      </c>
      <c r="AF454" s="76"/>
      <c r="AG454" s="76">
        <v>133998.75</v>
      </c>
      <c r="AH454" s="76"/>
      <c r="AI454" s="76">
        <v>305985.15000000002</v>
      </c>
      <c r="AJ454" s="76"/>
      <c r="AK454" s="76">
        <v>439983.9</v>
      </c>
      <c r="AL454" s="24">
        <f>+'Gen Rev'!AI451-'Gen Exp'!AE454+'Gen Exp'!AI454-AK454</f>
        <v>0</v>
      </c>
      <c r="AM454" s="41" t="str">
        <f>'Gen Rev'!A451</f>
        <v>New Knoxville</v>
      </c>
      <c r="AN454" s="21" t="str">
        <f t="shared" si="47"/>
        <v>New Knoxville</v>
      </c>
      <c r="AO454" s="21" t="b">
        <f t="shared" si="48"/>
        <v>1</v>
      </c>
    </row>
    <row r="455" spans="1:41" s="21" customFormat="1" ht="12" customHeight="1" x14ac:dyDescent="0.2">
      <c r="A455" s="15" t="s">
        <v>481</v>
      </c>
      <c r="B455" s="15"/>
      <c r="C455" s="15" t="s">
        <v>479</v>
      </c>
      <c r="D455" s="15"/>
      <c r="E455" s="76">
        <v>0</v>
      </c>
      <c r="F455" s="76"/>
      <c r="G455" s="76">
        <v>0</v>
      </c>
      <c r="H455" s="76"/>
      <c r="I455" s="76">
        <v>75380</v>
      </c>
      <c r="J455" s="76"/>
      <c r="K455" s="76">
        <v>31564</v>
      </c>
      <c r="L455" s="76"/>
      <c r="M455" s="76">
        <v>0</v>
      </c>
      <c r="N455" s="76"/>
      <c r="O455" s="76">
        <v>0</v>
      </c>
      <c r="P455" s="76"/>
      <c r="Q455" s="76">
        <v>137788</v>
      </c>
      <c r="R455" s="76"/>
      <c r="S455" s="76">
        <v>8959</v>
      </c>
      <c r="T455" s="76"/>
      <c r="U455" s="76">
        <v>222500</v>
      </c>
      <c r="V455" s="76"/>
      <c r="W455" s="76">
        <v>4759</v>
      </c>
      <c r="X455" s="76"/>
      <c r="Y455" s="76">
        <v>430662</v>
      </c>
      <c r="Z455" s="76"/>
      <c r="AA455" s="76">
        <v>0</v>
      </c>
      <c r="AB455" s="76"/>
      <c r="AC455" s="76">
        <v>8781</v>
      </c>
      <c r="AD455" s="76"/>
      <c r="AE455" s="76">
        <f t="shared" si="46"/>
        <v>920393</v>
      </c>
      <c r="AF455" s="76"/>
      <c r="AG455" s="76">
        <v>-22798</v>
      </c>
      <c r="AH455" s="76"/>
      <c r="AI455" s="76">
        <v>972224</v>
      </c>
      <c r="AJ455" s="76"/>
      <c r="AK455" s="76">
        <v>949426</v>
      </c>
      <c r="AL455" s="24">
        <f>+'Gen Rev'!AI452-'Gen Exp'!AE455+'Gen Exp'!AI455-AK455</f>
        <v>0</v>
      </c>
      <c r="AM455" s="41" t="str">
        <f>'Gen Rev'!A452</f>
        <v>New Lebanon</v>
      </c>
      <c r="AN455" s="21" t="str">
        <f t="shared" si="47"/>
        <v>New Lebanon</v>
      </c>
      <c r="AO455" s="21" t="b">
        <f t="shared" si="48"/>
        <v>1</v>
      </c>
    </row>
    <row r="456" spans="1:41" s="21" customFormat="1" ht="12" customHeight="1" x14ac:dyDescent="0.2">
      <c r="A456" s="15" t="s">
        <v>963</v>
      </c>
      <c r="B456" s="15"/>
      <c r="C456" s="15" t="s">
        <v>500</v>
      </c>
      <c r="D456" s="23"/>
      <c r="E456" s="76">
        <v>223691.18</v>
      </c>
      <c r="F456" s="76"/>
      <c r="G456" s="76">
        <v>0</v>
      </c>
      <c r="H456" s="76"/>
      <c r="I456" s="76">
        <v>9372.65</v>
      </c>
      <c r="J456" s="76"/>
      <c r="K456" s="76">
        <v>0</v>
      </c>
      <c r="L456" s="76"/>
      <c r="M456" s="76">
        <v>0</v>
      </c>
      <c r="N456" s="76"/>
      <c r="O456" s="76">
        <v>0</v>
      </c>
      <c r="P456" s="76"/>
      <c r="Q456" s="76">
        <v>191136.03</v>
      </c>
      <c r="R456" s="76"/>
      <c r="S456" s="76">
        <v>0</v>
      </c>
      <c r="T456" s="76"/>
      <c r="U456" s="76">
        <v>0</v>
      </c>
      <c r="V456" s="76"/>
      <c r="W456" s="76">
        <v>0</v>
      </c>
      <c r="X456" s="76"/>
      <c r="Y456" s="76">
        <v>0</v>
      </c>
      <c r="Z456" s="76"/>
      <c r="AA456" s="76">
        <v>0</v>
      </c>
      <c r="AB456" s="76"/>
      <c r="AC456" s="76">
        <v>0</v>
      </c>
      <c r="AD456" s="76"/>
      <c r="AE456" s="76">
        <f t="shared" si="46"/>
        <v>424199.86</v>
      </c>
      <c r="AF456" s="76"/>
      <c r="AG456" s="76">
        <v>-38983.72</v>
      </c>
      <c r="AH456" s="76"/>
      <c r="AI456" s="76">
        <v>-131649.26999999999</v>
      </c>
      <c r="AJ456" s="76"/>
      <c r="AK456" s="76">
        <v>-170632.99</v>
      </c>
      <c r="AL456" s="24">
        <f>+'Gen Rev'!AI453-'Gen Exp'!AE456+'Gen Exp'!AI456-AK456</f>
        <v>0</v>
      </c>
      <c r="AM456" s="41" t="str">
        <f>'Gen Rev'!A453</f>
        <v>New Lexington</v>
      </c>
      <c r="AN456" s="21" t="str">
        <f t="shared" si="47"/>
        <v>New Lexington</v>
      </c>
      <c r="AO456" s="21" t="b">
        <f t="shared" si="48"/>
        <v>1</v>
      </c>
    </row>
    <row r="457" spans="1:41" s="21" customFormat="1" ht="12" customHeight="1" x14ac:dyDescent="0.2">
      <c r="A457" s="36" t="s">
        <v>417</v>
      </c>
      <c r="B457" s="36"/>
      <c r="C457" s="36" t="s">
        <v>416</v>
      </c>
      <c r="D457" s="36"/>
      <c r="E457" s="76">
        <v>322564</v>
      </c>
      <c r="F457" s="76"/>
      <c r="G457" s="76">
        <v>1804</v>
      </c>
      <c r="H457" s="76"/>
      <c r="I457" s="76">
        <v>0</v>
      </c>
      <c r="J457" s="76"/>
      <c r="K457" s="76">
        <v>2870</v>
      </c>
      <c r="L457" s="76"/>
      <c r="M457" s="76">
        <v>0</v>
      </c>
      <c r="N457" s="76"/>
      <c r="O457" s="76">
        <v>0</v>
      </c>
      <c r="P457" s="76"/>
      <c r="Q457" s="76">
        <v>380913</v>
      </c>
      <c r="R457" s="76"/>
      <c r="S457" s="76">
        <v>0</v>
      </c>
      <c r="T457" s="76"/>
      <c r="U457" s="76">
        <v>0</v>
      </c>
      <c r="V457" s="76"/>
      <c r="W457" s="76">
        <v>0</v>
      </c>
      <c r="X457" s="76"/>
      <c r="Y457" s="76">
        <v>45212</v>
      </c>
      <c r="Z457" s="76"/>
      <c r="AA457" s="76">
        <v>0</v>
      </c>
      <c r="AB457" s="76"/>
      <c r="AC457" s="76">
        <v>0</v>
      </c>
      <c r="AD457" s="76"/>
      <c r="AE457" s="76">
        <f t="shared" si="46"/>
        <v>753363</v>
      </c>
      <c r="AF457" s="76"/>
      <c r="AG457" s="76">
        <v>25424</v>
      </c>
      <c r="AH457" s="76"/>
      <c r="AI457" s="76">
        <v>451232</v>
      </c>
      <c r="AJ457" s="76"/>
      <c r="AK457" s="76">
        <v>476656</v>
      </c>
      <c r="AL457" s="24">
        <f>+'Gen Rev'!AI454-'Gen Exp'!AE457+'Gen Exp'!AI457-AK457</f>
        <v>0</v>
      </c>
      <c r="AM457" s="41" t="str">
        <f>'Gen Rev'!A454</f>
        <v>New London</v>
      </c>
      <c r="AN457" s="21" t="str">
        <f t="shared" si="47"/>
        <v>New London</v>
      </c>
      <c r="AO457" s="21" t="b">
        <f t="shared" si="48"/>
        <v>1</v>
      </c>
    </row>
    <row r="458" spans="1:41" ht="12" customHeight="1" x14ac:dyDescent="0.2">
      <c r="A458" s="1" t="s">
        <v>53</v>
      </c>
      <c r="C458" s="1" t="s">
        <v>752</v>
      </c>
      <c r="D458" s="23"/>
      <c r="E458" s="76">
        <v>35476.06</v>
      </c>
      <c r="F458" s="76"/>
      <c r="G458" s="76">
        <v>0</v>
      </c>
      <c r="H458" s="76"/>
      <c r="I458" s="76">
        <v>0</v>
      </c>
      <c r="J458" s="76"/>
      <c r="K458" s="76">
        <v>80906.070000000007</v>
      </c>
      <c r="L458" s="76"/>
      <c r="M458" s="76">
        <v>44460.91</v>
      </c>
      <c r="N458" s="76"/>
      <c r="O458" s="76">
        <v>232992.8</v>
      </c>
      <c r="P458" s="76"/>
      <c r="Q458" s="76">
        <v>178178.69</v>
      </c>
      <c r="R458" s="76"/>
      <c r="S458" s="76">
        <v>0</v>
      </c>
      <c r="T458" s="76"/>
      <c r="U458" s="76">
        <v>0</v>
      </c>
      <c r="V458" s="76"/>
      <c r="W458" s="76">
        <v>0</v>
      </c>
      <c r="X458" s="76"/>
      <c r="Y458" s="76">
        <v>0</v>
      </c>
      <c r="Z458" s="76"/>
      <c r="AA458" s="76">
        <v>0</v>
      </c>
      <c r="AB458" s="76"/>
      <c r="AC458" s="76">
        <v>0</v>
      </c>
      <c r="AD458" s="76"/>
      <c r="AE458" s="76">
        <f t="shared" si="46"/>
        <v>572014.53</v>
      </c>
      <c r="AF458" s="76"/>
      <c r="AG458" s="76">
        <v>-18996.509999999998</v>
      </c>
      <c r="AH458" s="76"/>
      <c r="AI458" s="76">
        <v>341479.88</v>
      </c>
      <c r="AJ458" s="76"/>
      <c r="AK458" s="76">
        <v>322483.37</v>
      </c>
      <c r="AL458" s="24">
        <f>+'Gen Rev'!AI455-'Gen Exp'!AE458+'Gen Exp'!AI458-AK458</f>
        <v>0</v>
      </c>
      <c r="AM458" s="41" t="str">
        <f>'Gen Rev'!A455</f>
        <v>New Madison</v>
      </c>
      <c r="AN458" s="21" t="str">
        <f t="shared" si="47"/>
        <v>New Madison</v>
      </c>
      <c r="AO458" s="21" t="b">
        <f t="shared" si="48"/>
        <v>1</v>
      </c>
    </row>
    <row r="459" spans="1:41" ht="12" customHeight="1" x14ac:dyDescent="0.2">
      <c r="A459" s="1" t="s">
        <v>932</v>
      </c>
      <c r="C459" s="1" t="s">
        <v>518</v>
      </c>
      <c r="D459" s="49"/>
      <c r="E459" s="76">
        <v>92335.27</v>
      </c>
      <c r="F459" s="76"/>
      <c r="G459" s="76">
        <v>971.8</v>
      </c>
      <c r="H459" s="76"/>
      <c r="I459" s="76">
        <v>33695.42</v>
      </c>
      <c r="J459" s="76"/>
      <c r="K459" s="76">
        <v>0</v>
      </c>
      <c r="L459" s="76"/>
      <c r="M459" s="76">
        <v>0</v>
      </c>
      <c r="N459" s="76"/>
      <c r="O459" s="76">
        <v>29842.59</v>
      </c>
      <c r="P459" s="76"/>
      <c r="Q459" s="76">
        <v>164388.72</v>
      </c>
      <c r="R459" s="76"/>
      <c r="S459" s="76">
        <v>15282</v>
      </c>
      <c r="T459" s="76"/>
      <c r="U459" s="76">
        <v>0</v>
      </c>
      <c r="V459" s="76"/>
      <c r="W459" s="76">
        <v>0</v>
      </c>
      <c r="X459" s="76"/>
      <c r="Y459" s="76">
        <v>0</v>
      </c>
      <c r="Z459" s="76"/>
      <c r="AA459" s="76">
        <v>1498.52</v>
      </c>
      <c r="AB459" s="76"/>
      <c r="AC459" s="76">
        <v>0</v>
      </c>
      <c r="AD459" s="76"/>
      <c r="AE459" s="76">
        <f t="shared" si="46"/>
        <v>338014.32000000007</v>
      </c>
      <c r="AF459" s="76"/>
      <c r="AG459" s="76">
        <v>316310.24</v>
      </c>
      <c r="AH459" s="76"/>
      <c r="AI459" s="76">
        <v>383881.55</v>
      </c>
      <c r="AJ459" s="76"/>
      <c r="AK459" s="76">
        <v>700191.79</v>
      </c>
      <c r="AL459" s="24">
        <f>+'Gen Rev'!AI456-'Gen Exp'!AE459+'Gen Exp'!AI459-AK459</f>
        <v>0</v>
      </c>
      <c r="AM459" s="41" t="str">
        <f>'Gen Rev'!A456</f>
        <v>New Miami</v>
      </c>
      <c r="AN459" s="21" t="str">
        <f t="shared" si="47"/>
        <v>New Miami</v>
      </c>
      <c r="AO459" s="21" t="b">
        <f t="shared" si="48"/>
        <v>1</v>
      </c>
    </row>
    <row r="460" spans="1:41" s="21" customFormat="1" ht="12" customHeight="1" x14ac:dyDescent="0.2">
      <c r="A460" s="1" t="s">
        <v>145</v>
      </c>
      <c r="B460" s="1"/>
      <c r="C460" s="1" t="s">
        <v>779</v>
      </c>
      <c r="D460" s="23"/>
      <c r="E460" s="76">
        <v>1505.16</v>
      </c>
      <c r="F460" s="76"/>
      <c r="G460" s="76">
        <v>9001.75</v>
      </c>
      <c r="H460" s="76"/>
      <c r="I460" s="76">
        <v>2330.81</v>
      </c>
      <c r="J460" s="76"/>
      <c r="K460" s="76">
        <v>5502.95</v>
      </c>
      <c r="L460" s="76"/>
      <c r="M460" s="76">
        <v>0</v>
      </c>
      <c r="N460" s="76"/>
      <c r="O460" s="76">
        <v>0</v>
      </c>
      <c r="P460" s="76"/>
      <c r="Q460" s="76">
        <v>185059.36</v>
      </c>
      <c r="R460" s="76"/>
      <c r="S460" s="76">
        <v>0</v>
      </c>
      <c r="T460" s="76"/>
      <c r="U460" s="76">
        <v>0</v>
      </c>
      <c r="V460" s="76"/>
      <c r="W460" s="76">
        <v>0</v>
      </c>
      <c r="X460" s="76"/>
      <c r="Y460" s="76">
        <v>50000</v>
      </c>
      <c r="Z460" s="76"/>
      <c r="AA460" s="76">
        <v>65000</v>
      </c>
      <c r="AB460" s="76"/>
      <c r="AC460" s="76">
        <v>0</v>
      </c>
      <c r="AD460" s="76"/>
      <c r="AE460" s="76">
        <f t="shared" si="46"/>
        <v>318400.02999999997</v>
      </c>
      <c r="AF460" s="76"/>
      <c r="AG460" s="76">
        <v>-62382.54</v>
      </c>
      <c r="AH460" s="76"/>
      <c r="AI460" s="76">
        <v>308313.65000000002</v>
      </c>
      <c r="AJ460" s="76"/>
      <c r="AK460" s="76">
        <v>245931.11</v>
      </c>
      <c r="AL460" s="24">
        <f>+'Gen Rev'!AI460-'Gen Exp'!AE460+'Gen Exp'!AI460-AK460</f>
        <v>0</v>
      </c>
      <c r="AM460" s="41" t="str">
        <f>'Gen Rev'!A460</f>
        <v>New Middleton</v>
      </c>
      <c r="AN460" s="21" t="str">
        <f t="shared" si="47"/>
        <v>New Middleton</v>
      </c>
      <c r="AO460" s="21" t="b">
        <f t="shared" si="48"/>
        <v>1</v>
      </c>
    </row>
    <row r="461" spans="1:41" ht="12" customHeight="1" x14ac:dyDescent="0.2">
      <c r="A461" s="1" t="s">
        <v>510</v>
      </c>
      <c r="C461" s="1" t="s">
        <v>509</v>
      </c>
      <c r="D461" s="23"/>
      <c r="E461" s="76">
        <v>0</v>
      </c>
      <c r="F461" s="76"/>
      <c r="G461" s="76">
        <v>750</v>
      </c>
      <c r="H461" s="76"/>
      <c r="I461" s="76">
        <v>0</v>
      </c>
      <c r="J461" s="76"/>
      <c r="K461" s="76">
        <v>3189.84</v>
      </c>
      <c r="L461" s="76"/>
      <c r="M461" s="76">
        <v>0</v>
      </c>
      <c r="N461" s="76"/>
      <c r="O461" s="76">
        <v>0</v>
      </c>
      <c r="P461" s="76"/>
      <c r="Q461" s="76">
        <v>64668.67</v>
      </c>
      <c r="R461" s="76"/>
      <c r="S461" s="76">
        <v>481.54</v>
      </c>
      <c r="T461" s="76"/>
      <c r="U461" s="76">
        <v>2935.43</v>
      </c>
      <c r="V461" s="76"/>
      <c r="W461" s="76">
        <v>3954.3</v>
      </c>
      <c r="X461" s="76"/>
      <c r="Y461" s="76">
        <v>111595.14</v>
      </c>
      <c r="Z461" s="76"/>
      <c r="AA461" s="76">
        <v>0</v>
      </c>
      <c r="AB461" s="76"/>
      <c r="AC461" s="76">
        <v>157.5</v>
      </c>
      <c r="AD461" s="76"/>
      <c r="AE461" s="76">
        <f t="shared" si="46"/>
        <v>187732.41999999998</v>
      </c>
      <c r="AF461" s="76"/>
      <c r="AG461" s="76">
        <v>-24416.82</v>
      </c>
      <c r="AH461" s="76"/>
      <c r="AI461" s="76">
        <v>73539.899999999994</v>
      </c>
      <c r="AJ461" s="76"/>
      <c r="AK461" s="76">
        <v>49123.08</v>
      </c>
      <c r="AL461" s="24">
        <f>+'Gen Rev'!AI461-'Gen Exp'!AE461+'Gen Exp'!AI461-AK461</f>
        <v>0</v>
      </c>
      <c r="AM461" s="41" t="str">
        <f>'Gen Rev'!A461</f>
        <v>New Paris</v>
      </c>
      <c r="AN461" s="21" t="str">
        <f t="shared" si="47"/>
        <v>New Paris</v>
      </c>
      <c r="AO461" s="21" t="b">
        <f t="shared" si="48"/>
        <v>1</v>
      </c>
    </row>
    <row r="462" spans="1:41" ht="12" customHeight="1" x14ac:dyDescent="0.2">
      <c r="A462" s="36" t="s">
        <v>38</v>
      </c>
      <c r="B462" s="36"/>
      <c r="C462" s="36" t="s">
        <v>747</v>
      </c>
      <c r="D462" s="10"/>
      <c r="E462" s="76">
        <v>139706.42000000001</v>
      </c>
      <c r="F462" s="76"/>
      <c r="G462" s="76">
        <v>0</v>
      </c>
      <c r="H462" s="76"/>
      <c r="I462" s="76">
        <v>18241.23</v>
      </c>
      <c r="J462" s="76"/>
      <c r="K462" s="76">
        <v>26492.44</v>
      </c>
      <c r="L462" s="76"/>
      <c r="M462" s="76">
        <v>0</v>
      </c>
      <c r="N462" s="76"/>
      <c r="O462" s="76">
        <v>0</v>
      </c>
      <c r="P462" s="76"/>
      <c r="Q462" s="76">
        <v>335009.17</v>
      </c>
      <c r="R462" s="76"/>
      <c r="S462" s="76">
        <v>0</v>
      </c>
      <c r="T462" s="76"/>
      <c r="U462" s="76">
        <v>2179.17</v>
      </c>
      <c r="V462" s="76"/>
      <c r="W462" s="76">
        <v>315.23</v>
      </c>
      <c r="X462" s="76"/>
      <c r="Y462" s="76">
        <v>181467.62</v>
      </c>
      <c r="Z462" s="76"/>
      <c r="AA462" s="76">
        <v>25588.51</v>
      </c>
      <c r="AB462" s="76"/>
      <c r="AC462" s="76">
        <v>0</v>
      </c>
      <c r="AD462" s="76"/>
      <c r="AE462" s="76">
        <f t="shared" si="46"/>
        <v>728999.79</v>
      </c>
      <c r="AF462" s="76"/>
      <c r="AG462" s="76">
        <v>93166.86</v>
      </c>
      <c r="AH462" s="76"/>
      <c r="AI462" s="76">
        <v>523758.86</v>
      </c>
      <c r="AJ462" s="76"/>
      <c r="AK462" s="76">
        <v>616925.72</v>
      </c>
      <c r="AL462" s="24">
        <f>+'Gen Rev'!AI462-'Gen Exp'!AE462+'Gen Exp'!AI462-AK462</f>
        <v>0</v>
      </c>
      <c r="AM462" s="41" t="str">
        <f>'Gen Rev'!A462</f>
        <v>New Richmond</v>
      </c>
      <c r="AN462" s="21" t="str">
        <f t="shared" si="47"/>
        <v>New Richmond</v>
      </c>
      <c r="AO462" s="21" t="b">
        <f t="shared" si="48"/>
        <v>1</v>
      </c>
    </row>
    <row r="463" spans="1:41" s="21" customFormat="1" ht="12" customHeight="1" x14ac:dyDescent="0.2">
      <c r="A463" s="1" t="s">
        <v>220</v>
      </c>
      <c r="B463" s="1"/>
      <c r="C463" s="1" t="s">
        <v>802</v>
      </c>
      <c r="D463" s="23"/>
      <c r="E463" s="76">
        <v>18718.990000000002</v>
      </c>
      <c r="F463" s="76"/>
      <c r="G463" s="76">
        <v>0</v>
      </c>
      <c r="H463" s="76"/>
      <c r="I463" s="76">
        <v>5531.84</v>
      </c>
      <c r="J463" s="76"/>
      <c r="K463" s="76">
        <v>0</v>
      </c>
      <c r="L463" s="76"/>
      <c r="M463" s="76">
        <v>14102.53</v>
      </c>
      <c r="N463" s="76"/>
      <c r="O463" s="76">
        <v>0</v>
      </c>
      <c r="P463" s="76"/>
      <c r="Q463" s="76">
        <v>64728.81</v>
      </c>
      <c r="R463" s="76"/>
      <c r="S463" s="76">
        <v>0</v>
      </c>
      <c r="T463" s="76"/>
      <c r="U463" s="76">
        <v>0</v>
      </c>
      <c r="V463" s="76"/>
      <c r="W463" s="76">
        <v>0</v>
      </c>
      <c r="X463" s="76"/>
      <c r="Y463" s="76">
        <v>0</v>
      </c>
      <c r="Z463" s="76"/>
      <c r="AA463" s="76">
        <v>0</v>
      </c>
      <c r="AB463" s="76"/>
      <c r="AC463" s="76">
        <v>0</v>
      </c>
      <c r="AD463" s="76"/>
      <c r="AE463" s="76">
        <f t="shared" si="46"/>
        <v>103082.17</v>
      </c>
      <c r="AF463" s="76"/>
      <c r="AG463" s="76">
        <v>16116.54</v>
      </c>
      <c r="AH463" s="76"/>
      <c r="AI463" s="76">
        <v>270981.5</v>
      </c>
      <c r="AJ463" s="76"/>
      <c r="AK463" s="76">
        <v>287098.03999999998</v>
      </c>
      <c r="AL463" s="24">
        <f>+'Gen Rev'!AI463-'Gen Exp'!AE463+'Gen Exp'!AI463-AK463</f>
        <v>0</v>
      </c>
      <c r="AM463" s="41" t="str">
        <f>'Gen Rev'!A463</f>
        <v>New Riegel</v>
      </c>
      <c r="AN463" s="21" t="str">
        <f t="shared" si="47"/>
        <v>New Riegel</v>
      </c>
      <c r="AO463" s="21" t="b">
        <f t="shared" si="48"/>
        <v>1</v>
      </c>
    </row>
    <row r="464" spans="1:41" s="21" customFormat="1" ht="12" customHeight="1" x14ac:dyDescent="0.2">
      <c r="A464" s="15" t="s">
        <v>701</v>
      </c>
      <c r="B464" s="15"/>
      <c r="C464" s="15" t="s">
        <v>500</v>
      </c>
      <c r="D464" s="28"/>
      <c r="E464" s="76">
        <v>2392</v>
      </c>
      <c r="F464" s="76"/>
      <c r="G464" s="76">
        <v>0</v>
      </c>
      <c r="H464" s="76"/>
      <c r="I464" s="76">
        <v>0</v>
      </c>
      <c r="J464" s="76"/>
      <c r="K464" s="76">
        <v>0</v>
      </c>
      <c r="L464" s="76"/>
      <c r="M464" s="76">
        <v>4538</v>
      </c>
      <c r="N464" s="76"/>
      <c r="O464" s="76">
        <v>2479</v>
      </c>
      <c r="P464" s="76"/>
      <c r="Q464" s="76">
        <v>24091</v>
      </c>
      <c r="R464" s="76"/>
      <c r="S464" s="76">
        <v>0</v>
      </c>
      <c r="T464" s="76"/>
      <c r="U464" s="76">
        <v>0</v>
      </c>
      <c r="V464" s="76"/>
      <c r="W464" s="76">
        <v>0</v>
      </c>
      <c r="X464" s="76"/>
      <c r="Y464" s="76">
        <v>0</v>
      </c>
      <c r="Z464" s="76"/>
      <c r="AA464" s="76">
        <v>0</v>
      </c>
      <c r="AB464" s="76"/>
      <c r="AC464" s="76">
        <v>0</v>
      </c>
      <c r="AD464" s="76"/>
      <c r="AE464" s="76">
        <f t="shared" si="46"/>
        <v>33500</v>
      </c>
      <c r="AF464" s="76"/>
      <c r="AG464" s="76">
        <v>11637</v>
      </c>
      <c r="AH464" s="76"/>
      <c r="AI464" s="76">
        <v>3514</v>
      </c>
      <c r="AJ464" s="76"/>
      <c r="AK464" s="76">
        <v>15151</v>
      </c>
      <c r="AL464" s="24">
        <f>+'Gen Rev'!AI464-'Gen Exp'!AE464+'Gen Exp'!AI464-AK464</f>
        <v>0</v>
      </c>
      <c r="AM464" s="41" t="str">
        <f>'Gen Rev'!A464</f>
        <v>New Straitsville</v>
      </c>
      <c r="AN464" s="21" t="str">
        <f t="shared" si="47"/>
        <v>New Straitsville</v>
      </c>
      <c r="AO464" s="21" t="b">
        <f t="shared" si="48"/>
        <v>1</v>
      </c>
    </row>
    <row r="465" spans="1:41" s="21" customFormat="1" ht="12" customHeight="1" x14ac:dyDescent="0.2">
      <c r="A465" s="1" t="s">
        <v>41</v>
      </c>
      <c r="B465" s="1"/>
      <c r="C465" s="1" t="s">
        <v>748</v>
      </c>
      <c r="D465" s="23"/>
      <c r="E465" s="76">
        <v>18842.61</v>
      </c>
      <c r="F465" s="76"/>
      <c r="G465" s="76">
        <v>0</v>
      </c>
      <c r="H465" s="76"/>
      <c r="I465" s="76">
        <v>0</v>
      </c>
      <c r="J465" s="76"/>
      <c r="K465" s="76">
        <v>0</v>
      </c>
      <c r="L465" s="76"/>
      <c r="M465" s="76">
        <v>1134.6199999999999</v>
      </c>
      <c r="N465" s="76"/>
      <c r="O465" s="76">
        <v>0</v>
      </c>
      <c r="P465" s="76"/>
      <c r="Q465" s="76">
        <v>54681.19</v>
      </c>
      <c r="R465" s="76"/>
      <c r="S465" s="76">
        <v>0</v>
      </c>
      <c r="T465" s="76"/>
      <c r="U465" s="76">
        <v>0</v>
      </c>
      <c r="V465" s="76"/>
      <c r="W465" s="76">
        <v>0</v>
      </c>
      <c r="X465" s="76"/>
      <c r="Y465" s="76">
        <v>0</v>
      </c>
      <c r="Z465" s="76"/>
      <c r="AA465" s="76">
        <v>30000</v>
      </c>
      <c r="AB465" s="76"/>
      <c r="AC465" s="76">
        <v>0</v>
      </c>
      <c r="AD465" s="76"/>
      <c r="AE465" s="76">
        <f t="shared" si="46"/>
        <v>104658.42</v>
      </c>
      <c r="AF465" s="76"/>
      <c r="AG465" s="76">
        <v>-3403.51</v>
      </c>
      <c r="AH465" s="76"/>
      <c r="AI465" s="76">
        <v>76106.490000000005</v>
      </c>
      <c r="AJ465" s="76"/>
      <c r="AK465" s="76">
        <v>72702.98</v>
      </c>
      <c r="AL465" s="24">
        <f>+'Gen Rev'!AI465-'Gen Exp'!AE465+'Gen Exp'!AI465-AK465</f>
        <v>0</v>
      </c>
      <c r="AM465" s="41" t="str">
        <f>'Gen Rev'!A465</f>
        <v>New Vienna</v>
      </c>
      <c r="AN465" s="21" t="str">
        <f t="shared" si="47"/>
        <v>New Vienna</v>
      </c>
      <c r="AO465" s="21" t="b">
        <f t="shared" si="48"/>
        <v>1</v>
      </c>
    </row>
    <row r="466" spans="1:41" s="21" customFormat="1" ht="12" customHeight="1" x14ac:dyDescent="0.2">
      <c r="A466" s="1" t="s">
        <v>313</v>
      </c>
      <c r="B466" s="1"/>
      <c r="C466" s="1" t="s">
        <v>312</v>
      </c>
      <c r="D466" s="1"/>
      <c r="E466" s="76">
        <v>105857.45</v>
      </c>
      <c r="F466" s="76"/>
      <c r="G466" s="76">
        <v>5712.21</v>
      </c>
      <c r="H466" s="76"/>
      <c r="I466" s="76">
        <v>41566.51</v>
      </c>
      <c r="J466" s="76"/>
      <c r="K466" s="76">
        <v>763.8</v>
      </c>
      <c r="L466" s="76"/>
      <c r="M466" s="76">
        <v>0</v>
      </c>
      <c r="N466" s="76"/>
      <c r="O466" s="76">
        <v>0</v>
      </c>
      <c r="P466" s="76"/>
      <c r="Q466" s="76">
        <v>140386.74</v>
      </c>
      <c r="R466" s="76"/>
      <c r="S466" s="76">
        <v>0</v>
      </c>
      <c r="T466" s="76"/>
      <c r="U466" s="76">
        <v>0</v>
      </c>
      <c r="V466" s="76"/>
      <c r="W466" s="76">
        <v>0</v>
      </c>
      <c r="X466" s="76"/>
      <c r="Y466" s="76">
        <v>68000</v>
      </c>
      <c r="Z466" s="76"/>
      <c r="AA466" s="76">
        <v>0</v>
      </c>
      <c r="AB466" s="76"/>
      <c r="AC466" s="76">
        <v>0</v>
      </c>
      <c r="AD466" s="76"/>
      <c r="AE466" s="76">
        <f t="shared" si="46"/>
        <v>362286.70999999996</v>
      </c>
      <c r="AF466" s="76"/>
      <c r="AG466" s="76">
        <v>95206.37</v>
      </c>
      <c r="AH466" s="76"/>
      <c r="AI466" s="76">
        <v>199198.54</v>
      </c>
      <c r="AJ466" s="76"/>
      <c r="AK466" s="76">
        <v>294404.90999999997</v>
      </c>
      <c r="AL466" s="24">
        <f>+'Gen Rev'!AI466-'Gen Exp'!AE466+'Gen Exp'!AI466-AK466</f>
        <v>0</v>
      </c>
      <c r="AM466" s="41" t="str">
        <f>'Gen Rev'!A466</f>
        <v>New Washington</v>
      </c>
      <c r="AN466" s="21" t="str">
        <f t="shared" si="47"/>
        <v>New Washington</v>
      </c>
      <c r="AO466" s="21" t="b">
        <f t="shared" si="48"/>
        <v>1</v>
      </c>
    </row>
    <row r="467" spans="1:41" s="21" customFormat="1" ht="12" customHeight="1" x14ac:dyDescent="0.2">
      <c r="A467" s="1" t="s">
        <v>841</v>
      </c>
      <c r="B467" s="1"/>
      <c r="C467" s="1" t="s">
        <v>749</v>
      </c>
      <c r="D467" s="23"/>
      <c r="E467" s="76">
        <v>173565.95</v>
      </c>
      <c r="F467" s="76"/>
      <c r="G467" s="76">
        <v>0</v>
      </c>
      <c r="H467" s="76"/>
      <c r="I467" s="76">
        <v>449.79</v>
      </c>
      <c r="J467" s="76"/>
      <c r="K467" s="76">
        <v>0</v>
      </c>
      <c r="L467" s="76"/>
      <c r="M467" s="76">
        <v>0</v>
      </c>
      <c r="N467" s="76"/>
      <c r="O467" s="76">
        <v>0</v>
      </c>
      <c r="P467" s="76"/>
      <c r="Q467" s="76">
        <v>58014.25</v>
      </c>
      <c r="R467" s="76"/>
      <c r="S467" s="76">
        <v>0</v>
      </c>
      <c r="T467" s="76"/>
      <c r="U467" s="76">
        <v>0</v>
      </c>
      <c r="V467" s="76"/>
      <c r="W467" s="76">
        <v>0</v>
      </c>
      <c r="X467" s="76"/>
      <c r="Y467" s="76">
        <v>0</v>
      </c>
      <c r="Z467" s="76"/>
      <c r="AA467" s="76">
        <v>650</v>
      </c>
      <c r="AB467" s="76"/>
      <c r="AC467" s="76">
        <v>0</v>
      </c>
      <c r="AD467" s="76"/>
      <c r="AE467" s="76">
        <f t="shared" ref="AE467:AE500" si="49">SUM(E467:AC467)</f>
        <v>232679.99000000002</v>
      </c>
      <c r="AF467" s="76"/>
      <c r="AG467" s="76">
        <v>23889.08</v>
      </c>
      <c r="AH467" s="76"/>
      <c r="AI467" s="76">
        <v>3934.2</v>
      </c>
      <c r="AJ467" s="76"/>
      <c r="AK467" s="76">
        <v>27823.279999999999</v>
      </c>
      <c r="AL467" s="24">
        <f>+'Gen Rev'!AI467-'Gen Exp'!AE467+'Gen Exp'!AI467-AK467</f>
        <v>-4.0017766878008842E-11</v>
      </c>
      <c r="AM467" s="41" t="str">
        <f>'Gen Rev'!A467</f>
        <v>New Waterford</v>
      </c>
      <c r="AN467" s="21" t="str">
        <f t="shared" ref="AN467:AN500" si="50">A467</f>
        <v>New Waterford</v>
      </c>
      <c r="AO467" s="21" t="b">
        <f t="shared" ref="AO467:AO498" si="51">AM467=AN467</f>
        <v>1</v>
      </c>
    </row>
    <row r="468" spans="1:41" s="21" customFormat="1" ht="12" customHeight="1" x14ac:dyDescent="0.2">
      <c r="A468" s="1" t="s">
        <v>333</v>
      </c>
      <c r="B468" s="1"/>
      <c r="C468" s="1" t="s">
        <v>329</v>
      </c>
      <c r="D468" s="1"/>
      <c r="E468" s="76">
        <v>5279</v>
      </c>
      <c r="F468" s="76"/>
      <c r="G468" s="76">
        <v>561</v>
      </c>
      <c r="H468" s="76"/>
      <c r="I468" s="76">
        <v>2332</v>
      </c>
      <c r="J468" s="76"/>
      <c r="K468" s="76">
        <v>763</v>
      </c>
      <c r="L468" s="76"/>
      <c r="M468" s="76">
        <v>8953</v>
      </c>
      <c r="N468" s="76"/>
      <c r="O468" s="76">
        <v>913</v>
      </c>
      <c r="P468" s="76"/>
      <c r="Q468" s="76">
        <v>15938</v>
      </c>
      <c r="R468" s="76"/>
      <c r="S468" s="76">
        <v>0</v>
      </c>
      <c r="T468" s="76"/>
      <c r="U468" s="76">
        <v>0</v>
      </c>
      <c r="V468" s="76"/>
      <c r="W468" s="76">
        <v>0</v>
      </c>
      <c r="X468" s="76"/>
      <c r="Y468" s="76">
        <v>0</v>
      </c>
      <c r="Z468" s="76"/>
      <c r="AA468" s="76">
        <v>0</v>
      </c>
      <c r="AB468" s="76"/>
      <c r="AC468" s="76">
        <v>0</v>
      </c>
      <c r="AD468" s="76"/>
      <c r="AE468" s="76">
        <f t="shared" si="49"/>
        <v>34739</v>
      </c>
      <c r="AF468" s="76"/>
      <c r="AG468" s="76">
        <v>-6962</v>
      </c>
      <c r="AH468" s="76"/>
      <c r="AI468" s="76">
        <v>71710</v>
      </c>
      <c r="AJ468" s="76"/>
      <c r="AK468" s="76">
        <v>64748</v>
      </c>
      <c r="AL468" s="24">
        <f>+'Gen Rev'!AI468-'Gen Exp'!AE468+'Gen Exp'!AI468-AK468</f>
        <v>0</v>
      </c>
      <c r="AM468" s="41" t="str">
        <f>'Gen Rev'!A468</f>
        <v>New Weston</v>
      </c>
      <c r="AN468" s="21" t="str">
        <f t="shared" si="50"/>
        <v>New Weston</v>
      </c>
      <c r="AO468" s="21" t="b">
        <f t="shared" si="51"/>
        <v>1</v>
      </c>
    </row>
    <row r="469" spans="1:41" ht="12" customHeight="1" x14ac:dyDescent="0.2">
      <c r="A469" s="1" t="s">
        <v>324</v>
      </c>
      <c r="C469" s="1" t="s">
        <v>316</v>
      </c>
      <c r="E469" s="76">
        <v>556600</v>
      </c>
      <c r="F469" s="76"/>
      <c r="G469" s="76">
        <v>2226</v>
      </c>
      <c r="H469" s="76"/>
      <c r="I469" s="76">
        <v>15341</v>
      </c>
      <c r="J469" s="76"/>
      <c r="K469" s="76">
        <v>0</v>
      </c>
      <c r="L469" s="76"/>
      <c r="M469" s="76">
        <v>116054</v>
      </c>
      <c r="N469" s="76"/>
      <c r="O469" s="76">
        <v>139842</v>
      </c>
      <c r="P469" s="76"/>
      <c r="Q469" s="76">
        <v>697546</v>
      </c>
      <c r="R469" s="76"/>
      <c r="S469" s="76">
        <v>0</v>
      </c>
      <c r="T469" s="76"/>
      <c r="U469" s="76">
        <v>0</v>
      </c>
      <c r="V469" s="76"/>
      <c r="W469" s="76">
        <v>0</v>
      </c>
      <c r="X469" s="76"/>
      <c r="Y469" s="76">
        <v>0</v>
      </c>
      <c r="Z469" s="76"/>
      <c r="AA469" s="76">
        <v>0</v>
      </c>
      <c r="AB469" s="76"/>
      <c r="AC469" s="76">
        <v>0</v>
      </c>
      <c r="AD469" s="76"/>
      <c r="AE469" s="76">
        <f t="shared" si="49"/>
        <v>1527609</v>
      </c>
      <c r="AF469" s="76"/>
      <c r="AG469" s="76">
        <v>82008</v>
      </c>
      <c r="AH469" s="76"/>
      <c r="AI469" s="76">
        <v>-55543</v>
      </c>
      <c r="AJ469" s="76"/>
      <c r="AK469" s="76">
        <v>26465</v>
      </c>
      <c r="AL469" s="24">
        <f>+'Gen Rev'!AI469-'Gen Exp'!AE469+'Gen Exp'!AI469-AK469</f>
        <v>0</v>
      </c>
      <c r="AM469" s="41" t="str">
        <f>'Gen Rev'!A469</f>
        <v>Newburgh Heights</v>
      </c>
      <c r="AN469" s="21" t="str">
        <f t="shared" si="50"/>
        <v>Newburgh Heights</v>
      </c>
      <c r="AO469" s="21" t="b">
        <f t="shared" si="51"/>
        <v>1</v>
      </c>
    </row>
    <row r="470" spans="1:41" ht="12" customHeight="1" x14ac:dyDescent="0.2">
      <c r="A470" s="1" t="s">
        <v>564</v>
      </c>
      <c r="C470" s="1" t="s">
        <v>560</v>
      </c>
      <c r="E470" s="76">
        <v>543236</v>
      </c>
      <c r="F470" s="76"/>
      <c r="G470" s="76">
        <v>1770</v>
      </c>
      <c r="H470" s="76"/>
      <c r="I470" s="76">
        <v>48084</v>
      </c>
      <c r="J470" s="76"/>
      <c r="K470" s="76">
        <v>0</v>
      </c>
      <c r="L470" s="76"/>
      <c r="M470" s="76">
        <v>3336</v>
      </c>
      <c r="N470" s="76"/>
      <c r="O470" s="76">
        <v>0</v>
      </c>
      <c r="P470" s="76"/>
      <c r="Q470" s="76">
        <v>355837</v>
      </c>
      <c r="R470" s="76"/>
      <c r="S470" s="76">
        <v>0</v>
      </c>
      <c r="T470" s="76"/>
      <c r="U470" s="76">
        <v>0</v>
      </c>
      <c r="V470" s="76"/>
      <c r="W470" s="76">
        <v>0</v>
      </c>
      <c r="X470" s="76"/>
      <c r="Y470" s="76">
        <v>10000</v>
      </c>
      <c r="Z470" s="76"/>
      <c r="AA470" s="76">
        <v>0</v>
      </c>
      <c r="AB470" s="76"/>
      <c r="AC470" s="76">
        <v>0</v>
      </c>
      <c r="AD470" s="76"/>
      <c r="AE470" s="76">
        <f t="shared" si="49"/>
        <v>962263</v>
      </c>
      <c r="AF470" s="76"/>
      <c r="AG470" s="76">
        <v>173672</v>
      </c>
      <c r="AH470" s="76"/>
      <c r="AI470" s="76">
        <v>-2613</v>
      </c>
      <c r="AJ470" s="76"/>
      <c r="AK470" s="76">
        <v>171059</v>
      </c>
      <c r="AL470" s="24">
        <f>+'Gen Rev'!AI470-'Gen Exp'!AE470+'Gen Exp'!AI470-AK470</f>
        <v>0</v>
      </c>
      <c r="AM470" s="41" t="str">
        <f>'Gen Rev'!A470</f>
        <v>Newcomerstown</v>
      </c>
      <c r="AN470" s="21" t="str">
        <f t="shared" si="50"/>
        <v>Newcomerstown</v>
      </c>
      <c r="AO470" s="21" t="b">
        <f t="shared" si="51"/>
        <v>1</v>
      </c>
    </row>
    <row r="471" spans="1:41" ht="12" customHeight="1" x14ac:dyDescent="0.2">
      <c r="A471" s="1" t="s">
        <v>943</v>
      </c>
      <c r="C471" s="1" t="s">
        <v>557</v>
      </c>
      <c r="E471" s="76">
        <v>1148647</v>
      </c>
      <c r="F471" s="76"/>
      <c r="G471" s="76">
        <v>0</v>
      </c>
      <c r="H471" s="76"/>
      <c r="I471" s="76">
        <v>0</v>
      </c>
      <c r="J471" s="76"/>
      <c r="K471" s="76">
        <v>17354</v>
      </c>
      <c r="L471" s="76"/>
      <c r="M471" s="76">
        <v>0</v>
      </c>
      <c r="N471" s="76"/>
      <c r="O471" s="76">
        <v>0</v>
      </c>
      <c r="P471" s="76"/>
      <c r="Q471" s="76">
        <v>1274478</v>
      </c>
      <c r="R471" s="76"/>
      <c r="S471" s="76">
        <v>0</v>
      </c>
      <c r="T471" s="76"/>
      <c r="U471" s="76">
        <v>0</v>
      </c>
      <c r="V471" s="76"/>
      <c r="W471" s="76">
        <v>0</v>
      </c>
      <c r="X471" s="76"/>
      <c r="Y471" s="76">
        <v>82751</v>
      </c>
      <c r="Z471" s="76"/>
      <c r="AA471" s="76">
        <v>5300</v>
      </c>
      <c r="AB471" s="76"/>
      <c r="AC471" s="76">
        <v>0</v>
      </c>
      <c r="AD471" s="76"/>
      <c r="AE471" s="76">
        <f t="shared" si="49"/>
        <v>2528530</v>
      </c>
      <c r="AF471" s="76"/>
      <c r="AG471" s="76">
        <v>-87114</v>
      </c>
      <c r="AH471" s="76"/>
      <c r="AI471" s="76">
        <v>229788</v>
      </c>
      <c r="AJ471" s="76"/>
      <c r="AK471" s="76">
        <v>142674</v>
      </c>
      <c r="AL471" s="24">
        <f>+'Gen Rev'!AI471-'Gen Exp'!AE471+'Gen Exp'!AI471-AK471</f>
        <v>0</v>
      </c>
      <c r="AM471" s="41" t="str">
        <f>'Gen Rev'!A471</f>
        <v>Newton Falls</v>
      </c>
      <c r="AN471" s="21" t="str">
        <f t="shared" si="50"/>
        <v>Newton Falls</v>
      </c>
      <c r="AO471" s="21" t="b">
        <f t="shared" si="51"/>
        <v>1</v>
      </c>
    </row>
    <row r="472" spans="1:41" s="10" customFormat="1" ht="12" hidden="1" customHeight="1" x14ac:dyDescent="0.2">
      <c r="A472" s="1" t="s">
        <v>684</v>
      </c>
      <c r="B472" s="1"/>
      <c r="C472" s="1" t="s">
        <v>295</v>
      </c>
      <c r="D472" s="21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>
        <f t="shared" si="49"/>
        <v>0</v>
      </c>
      <c r="AF472" s="76"/>
      <c r="AG472" s="76"/>
      <c r="AH472" s="76"/>
      <c r="AI472" s="76"/>
      <c r="AJ472" s="76"/>
      <c r="AK472" s="76"/>
      <c r="AL472" s="24">
        <f>+'Gen Rev'!AI472-'Gen Exp'!AE472+'Gen Exp'!AI472-AK472</f>
        <v>0</v>
      </c>
      <c r="AM472" s="41" t="str">
        <f>'Gen Rev'!A472</f>
        <v>Newtonville</v>
      </c>
      <c r="AN472" s="21" t="str">
        <f t="shared" si="50"/>
        <v>Newtonville</v>
      </c>
      <c r="AO472" s="21" t="b">
        <f t="shared" si="51"/>
        <v>1</v>
      </c>
    </row>
    <row r="473" spans="1:41" s="10" customFormat="1" ht="12" customHeight="1" x14ac:dyDescent="0.2">
      <c r="A473" s="1" t="s">
        <v>96</v>
      </c>
      <c r="B473" s="1"/>
      <c r="C473" s="1" t="s">
        <v>763</v>
      </c>
      <c r="D473" s="23"/>
      <c r="E473" s="76">
        <v>651448.68999999994</v>
      </c>
      <c r="F473" s="76"/>
      <c r="G473" s="76">
        <v>0</v>
      </c>
      <c r="H473" s="76"/>
      <c r="I473" s="76">
        <v>0</v>
      </c>
      <c r="J473" s="76"/>
      <c r="K473" s="76">
        <v>0</v>
      </c>
      <c r="L473" s="76"/>
      <c r="M473" s="76">
        <v>122810.64</v>
      </c>
      <c r="N473" s="76"/>
      <c r="O473" s="76">
        <v>161918.43</v>
      </c>
      <c r="P473" s="76"/>
      <c r="Q473" s="76">
        <v>677424.03</v>
      </c>
      <c r="R473" s="76"/>
      <c r="S473" s="76">
        <v>0</v>
      </c>
      <c r="T473" s="76"/>
      <c r="U473" s="76">
        <v>0</v>
      </c>
      <c r="V473" s="76"/>
      <c r="W473" s="76">
        <v>0</v>
      </c>
      <c r="X473" s="76"/>
      <c r="Y473" s="76">
        <v>273534.23</v>
      </c>
      <c r="Z473" s="76"/>
      <c r="AA473" s="76">
        <v>0</v>
      </c>
      <c r="AB473" s="76"/>
      <c r="AC473" s="76">
        <v>0</v>
      </c>
      <c r="AD473" s="76"/>
      <c r="AE473" s="76">
        <f t="shared" si="49"/>
        <v>1887136.02</v>
      </c>
      <c r="AF473" s="76"/>
      <c r="AG473" s="76">
        <v>-100711.67</v>
      </c>
      <c r="AH473" s="76"/>
      <c r="AI473" s="76">
        <v>1289013.95</v>
      </c>
      <c r="AJ473" s="76"/>
      <c r="AK473" s="76">
        <v>1188302.28</v>
      </c>
      <c r="AL473" s="24">
        <f>+'Gen Rev'!AI473-'Gen Exp'!AE473+'Gen Exp'!AI473-AK473</f>
        <v>0</v>
      </c>
      <c r="AM473" s="41" t="str">
        <f>'Gen Rev'!A473</f>
        <v>Newtown</v>
      </c>
      <c r="AN473" s="21" t="str">
        <f t="shared" si="50"/>
        <v>Newtown</v>
      </c>
      <c r="AO473" s="21" t="b">
        <f t="shared" si="51"/>
        <v>1</v>
      </c>
    </row>
    <row r="474" spans="1:41" ht="12" customHeight="1" x14ac:dyDescent="0.2">
      <c r="A474" s="1" t="s">
        <v>55</v>
      </c>
      <c r="C474" s="1" t="s">
        <v>753</v>
      </c>
      <c r="D474" s="23"/>
      <c r="E474" s="76">
        <v>9440</v>
      </c>
      <c r="F474" s="76"/>
      <c r="G474" s="76">
        <v>0</v>
      </c>
      <c r="H474" s="76"/>
      <c r="I474" s="76">
        <v>895.43</v>
      </c>
      <c r="J474" s="76"/>
      <c r="K474" s="76">
        <v>0</v>
      </c>
      <c r="L474" s="76"/>
      <c r="M474" s="76">
        <v>1824.36</v>
      </c>
      <c r="N474" s="76"/>
      <c r="O474" s="76">
        <v>21734.69</v>
      </c>
      <c r="P474" s="76"/>
      <c r="Q474" s="76">
        <v>55250.92</v>
      </c>
      <c r="R474" s="76"/>
      <c r="S474" s="76">
        <v>0</v>
      </c>
      <c r="T474" s="76"/>
      <c r="U474" s="76">
        <v>0</v>
      </c>
      <c r="V474" s="76"/>
      <c r="W474" s="76">
        <v>0</v>
      </c>
      <c r="X474" s="76"/>
      <c r="Y474" s="76">
        <v>0</v>
      </c>
      <c r="Z474" s="76"/>
      <c r="AA474" s="76">
        <v>0</v>
      </c>
      <c r="AB474" s="76"/>
      <c r="AC474" s="76">
        <v>6585</v>
      </c>
      <c r="AD474" s="76"/>
      <c r="AE474" s="76">
        <f t="shared" si="49"/>
        <v>95730.4</v>
      </c>
      <c r="AF474" s="76"/>
      <c r="AG474" s="76">
        <v>-27369.96</v>
      </c>
      <c r="AH474" s="76"/>
      <c r="AI474" s="76">
        <v>85182.79</v>
      </c>
      <c r="AJ474" s="76"/>
      <c r="AK474" s="76">
        <v>57812.83</v>
      </c>
      <c r="AL474" s="24">
        <f>+'Gen Rev'!AI474-'Gen Exp'!AE474+'Gen Exp'!AI474-AK474</f>
        <v>0</v>
      </c>
      <c r="AM474" s="41" t="str">
        <f>'Gen Rev'!A474</f>
        <v>Ney</v>
      </c>
      <c r="AN474" s="21" t="str">
        <f t="shared" si="50"/>
        <v>Ney</v>
      </c>
      <c r="AO474" s="21" t="b">
        <f t="shared" si="51"/>
        <v>1</v>
      </c>
    </row>
    <row r="475" spans="1:41" ht="12" customHeight="1" x14ac:dyDescent="0.2">
      <c r="A475" s="1" t="s">
        <v>605</v>
      </c>
      <c r="C475" s="1" t="s">
        <v>601</v>
      </c>
      <c r="E475" s="76">
        <v>463024</v>
      </c>
      <c r="F475" s="76"/>
      <c r="G475" s="76">
        <v>208420</v>
      </c>
      <c r="H475" s="76"/>
      <c r="I475" s="76">
        <v>0</v>
      </c>
      <c r="J475" s="76"/>
      <c r="K475" s="76">
        <v>15729</v>
      </c>
      <c r="L475" s="76"/>
      <c r="M475" s="76">
        <v>0</v>
      </c>
      <c r="N475" s="76"/>
      <c r="O475" s="76">
        <v>0</v>
      </c>
      <c r="P475" s="76"/>
      <c r="Q475" s="76">
        <v>295110</v>
      </c>
      <c r="R475" s="76"/>
      <c r="S475" s="76">
        <v>0</v>
      </c>
      <c r="T475" s="76"/>
      <c r="U475" s="76">
        <v>0</v>
      </c>
      <c r="V475" s="76"/>
      <c r="W475" s="76">
        <v>0</v>
      </c>
      <c r="X475" s="76"/>
      <c r="Y475" s="76">
        <v>265000</v>
      </c>
      <c r="Z475" s="76"/>
      <c r="AA475" s="76">
        <v>0</v>
      </c>
      <c r="AB475" s="76"/>
      <c r="AC475" s="76">
        <v>0</v>
      </c>
      <c r="AD475" s="76"/>
      <c r="AE475" s="76">
        <f t="shared" si="49"/>
        <v>1247283</v>
      </c>
      <c r="AF475" s="76"/>
      <c r="AG475" s="76">
        <v>-228598</v>
      </c>
      <c r="AH475" s="76"/>
      <c r="AI475" s="76">
        <v>1290316</v>
      </c>
      <c r="AJ475" s="76"/>
      <c r="AK475" s="76">
        <v>1061718</v>
      </c>
      <c r="AL475" s="24">
        <f>+'Gen Rev'!AI475-'Gen Exp'!AE475+'Gen Exp'!AI475-AK475</f>
        <v>0</v>
      </c>
      <c r="AM475" s="41" t="str">
        <f>'Gen Rev'!A475</f>
        <v>North Baltimore</v>
      </c>
      <c r="AN475" s="21" t="str">
        <f t="shared" si="50"/>
        <v>North Baltimore</v>
      </c>
      <c r="AO475" s="21" t="b">
        <f t="shared" si="51"/>
        <v>1</v>
      </c>
    </row>
    <row r="476" spans="1:41" ht="12" customHeight="1" x14ac:dyDescent="0.2">
      <c r="A476" s="1" t="s">
        <v>97</v>
      </c>
      <c r="C476" s="1" t="s">
        <v>763</v>
      </c>
      <c r="D476" s="23"/>
      <c r="E476" s="76">
        <v>104473.29</v>
      </c>
      <c r="F476" s="76"/>
      <c r="G476" s="76">
        <v>0</v>
      </c>
      <c r="H476" s="76"/>
      <c r="I476" s="76">
        <v>5702.99</v>
      </c>
      <c r="J476" s="76"/>
      <c r="K476" s="76">
        <v>1784.35</v>
      </c>
      <c r="L476" s="76"/>
      <c r="M476" s="76">
        <v>17643.14</v>
      </c>
      <c r="N476" s="76"/>
      <c r="O476" s="76">
        <v>0</v>
      </c>
      <c r="P476" s="76"/>
      <c r="Q476" s="76">
        <v>154694.14000000001</v>
      </c>
      <c r="R476" s="76"/>
      <c r="S476" s="76">
        <v>0</v>
      </c>
      <c r="T476" s="76"/>
      <c r="U476" s="76">
        <v>0</v>
      </c>
      <c r="V476" s="76"/>
      <c r="W476" s="76">
        <v>0</v>
      </c>
      <c r="X476" s="76"/>
      <c r="Y476" s="76">
        <v>120000</v>
      </c>
      <c r="Z476" s="76"/>
      <c r="AA476" s="76">
        <v>0</v>
      </c>
      <c r="AB476" s="76"/>
      <c r="AC476" s="76">
        <v>44864.03</v>
      </c>
      <c r="AD476" s="76"/>
      <c r="AE476" s="76">
        <f t="shared" si="49"/>
        <v>449161.94000000006</v>
      </c>
      <c r="AF476" s="76"/>
      <c r="AG476" s="76">
        <v>-9312.74</v>
      </c>
      <c r="AH476" s="76"/>
      <c r="AI476" s="76">
        <v>758277.54</v>
      </c>
      <c r="AJ476" s="76"/>
      <c r="AK476" s="76">
        <v>748964.8</v>
      </c>
      <c r="AL476" s="24">
        <f>+'Gen Rev'!AI476-'Gen Exp'!AE476+'Gen Exp'!AI476-AK476</f>
        <v>0</v>
      </c>
      <c r="AM476" s="41" t="str">
        <f>'Gen Rev'!A476</f>
        <v>North Bend</v>
      </c>
      <c r="AN476" s="21" t="str">
        <f t="shared" si="50"/>
        <v>North Bend</v>
      </c>
      <c r="AO476" s="21" t="b">
        <f t="shared" si="51"/>
        <v>1</v>
      </c>
    </row>
    <row r="477" spans="1:41" s="21" customFormat="1" ht="12" customHeight="1" x14ac:dyDescent="0.2">
      <c r="A477" s="1" t="s">
        <v>418</v>
      </c>
      <c r="B477" s="1"/>
      <c r="C477" s="1" t="s">
        <v>416</v>
      </c>
      <c r="D477" s="23"/>
      <c r="E477" s="76">
        <v>8138.62</v>
      </c>
      <c r="F477" s="76"/>
      <c r="G477" s="76">
        <v>0</v>
      </c>
      <c r="H477" s="76"/>
      <c r="I477" s="76">
        <v>4130.55</v>
      </c>
      <c r="J477" s="76"/>
      <c r="K477" s="76">
        <v>716.05</v>
      </c>
      <c r="L477" s="76"/>
      <c r="M477" s="76">
        <v>20095.86</v>
      </c>
      <c r="N477" s="76"/>
      <c r="O477" s="76">
        <v>0</v>
      </c>
      <c r="P477" s="76"/>
      <c r="Q477" s="76">
        <v>64677.96</v>
      </c>
      <c r="R477" s="76"/>
      <c r="S477" s="76">
        <v>0</v>
      </c>
      <c r="T477" s="76"/>
      <c r="U477" s="76">
        <v>0</v>
      </c>
      <c r="V477" s="76"/>
      <c r="W477" s="76">
        <v>0</v>
      </c>
      <c r="X477" s="76"/>
      <c r="Y477" s="76">
        <v>0</v>
      </c>
      <c r="Z477" s="76"/>
      <c r="AA477" s="76">
        <v>0</v>
      </c>
      <c r="AB477" s="76"/>
      <c r="AC477" s="76">
        <v>18.399999999999999</v>
      </c>
      <c r="AD477" s="76"/>
      <c r="AE477" s="76">
        <f t="shared" si="49"/>
        <v>97777.44</v>
      </c>
      <c r="AF477" s="76"/>
      <c r="AG477" s="76">
        <v>-460.23</v>
      </c>
      <c r="AH477" s="76"/>
      <c r="AI477" s="76">
        <v>87842.02</v>
      </c>
      <c r="AJ477" s="76"/>
      <c r="AK477" s="76">
        <v>87381.79</v>
      </c>
      <c r="AL477" s="24">
        <f>+'Gen Rev'!AI477-'Gen Exp'!AE477+'Gen Exp'!AI477-AK477</f>
        <v>0</v>
      </c>
      <c r="AM477" s="41" t="str">
        <f>'Gen Rev'!A477</f>
        <v>North Fairfield</v>
      </c>
      <c r="AN477" s="21" t="str">
        <f t="shared" si="50"/>
        <v>North Fairfield</v>
      </c>
      <c r="AO477" s="21" t="b">
        <f t="shared" si="51"/>
        <v>1</v>
      </c>
    </row>
    <row r="478" spans="1:41" s="21" customFormat="1" ht="12" customHeight="1" x14ac:dyDescent="0.2">
      <c r="A478" s="1" t="s">
        <v>293</v>
      </c>
      <c r="B478" s="1"/>
      <c r="C478" s="1" t="s">
        <v>292</v>
      </c>
      <c r="D478" s="23"/>
      <c r="E478" s="76">
        <v>147601.89000000001</v>
      </c>
      <c r="F478" s="76"/>
      <c r="G478" s="76">
        <v>0</v>
      </c>
      <c r="H478" s="76"/>
      <c r="I478" s="76">
        <v>5102.45</v>
      </c>
      <c r="J478" s="76"/>
      <c r="K478" s="76">
        <v>0</v>
      </c>
      <c r="L478" s="76"/>
      <c r="M478" s="76">
        <v>0</v>
      </c>
      <c r="N478" s="76"/>
      <c r="O478" s="76">
        <v>0</v>
      </c>
      <c r="P478" s="76"/>
      <c r="Q478" s="76">
        <v>93126.24</v>
      </c>
      <c r="R478" s="76"/>
      <c r="S478" s="76">
        <v>0</v>
      </c>
      <c r="T478" s="76"/>
      <c r="U478" s="76">
        <v>0</v>
      </c>
      <c r="V478" s="76"/>
      <c r="W478" s="76">
        <v>0</v>
      </c>
      <c r="X478" s="76"/>
      <c r="Y478" s="76">
        <v>0</v>
      </c>
      <c r="Z478" s="76"/>
      <c r="AA478" s="76">
        <v>0</v>
      </c>
      <c r="AB478" s="76"/>
      <c r="AC478" s="76">
        <v>0</v>
      </c>
      <c r="AD478" s="76"/>
      <c r="AE478" s="76">
        <f t="shared" si="49"/>
        <v>245830.58000000002</v>
      </c>
      <c r="AF478" s="76"/>
      <c r="AG478" s="76">
        <v>20940.71</v>
      </c>
      <c r="AH478" s="76"/>
      <c r="AI478" s="76">
        <v>698.45</v>
      </c>
      <c r="AJ478" s="76"/>
      <c r="AK478" s="76">
        <v>21639.16</v>
      </c>
      <c r="AL478" s="24">
        <f>+'Gen Rev'!AI478-'Gen Exp'!AE478+'Gen Exp'!AI478-AK478</f>
        <v>-3.637978807091713E-11</v>
      </c>
      <c r="AM478" s="41" t="str">
        <f>'Gen Rev'!A478</f>
        <v>North Hampton</v>
      </c>
      <c r="AN478" s="21" t="str">
        <f t="shared" si="50"/>
        <v>North Hampton</v>
      </c>
      <c r="AO478" s="21" t="b">
        <f t="shared" si="51"/>
        <v>1</v>
      </c>
    </row>
    <row r="479" spans="1:41" ht="12" customHeight="1" x14ac:dyDescent="0.2">
      <c r="A479" s="1" t="s">
        <v>685</v>
      </c>
      <c r="C479" s="1" t="s">
        <v>671</v>
      </c>
      <c r="E479" s="76">
        <v>492302.12</v>
      </c>
      <c r="F479" s="76"/>
      <c r="G479" s="76">
        <v>29507.56</v>
      </c>
      <c r="H479" s="76"/>
      <c r="I479" s="76">
        <v>0</v>
      </c>
      <c r="J479" s="76"/>
      <c r="K479" s="76">
        <v>3401.97</v>
      </c>
      <c r="L479" s="76"/>
      <c r="M479" s="76">
        <v>0</v>
      </c>
      <c r="N479" s="76"/>
      <c r="O479" s="76">
        <v>0</v>
      </c>
      <c r="P479" s="76"/>
      <c r="Q479" s="76">
        <v>354939.33</v>
      </c>
      <c r="R479" s="76"/>
      <c r="S479" s="76">
        <v>0</v>
      </c>
      <c r="T479" s="76"/>
      <c r="U479" s="76">
        <v>0</v>
      </c>
      <c r="V479" s="76"/>
      <c r="W479" s="76">
        <v>0</v>
      </c>
      <c r="X479" s="76"/>
      <c r="Y479" s="76">
        <v>82871.740000000005</v>
      </c>
      <c r="Z479" s="76"/>
      <c r="AA479" s="76">
        <v>27820</v>
      </c>
      <c r="AB479" s="76"/>
      <c r="AC479" s="76">
        <v>457.5</v>
      </c>
      <c r="AD479" s="76"/>
      <c r="AE479" s="76">
        <f t="shared" si="49"/>
        <v>991300.22</v>
      </c>
      <c r="AF479" s="76"/>
      <c r="AG479" s="76">
        <v>-102921.61</v>
      </c>
      <c r="AH479" s="76"/>
      <c r="AI479" s="76">
        <v>595711.1</v>
      </c>
      <c r="AJ479" s="76"/>
      <c r="AK479" s="76">
        <v>492789.49</v>
      </c>
      <c r="AL479" s="24">
        <f>+'Gen Rev'!AI479-'Gen Exp'!AE479+'Gen Exp'!AI479-AK479</f>
        <v>0</v>
      </c>
      <c r="AM479" s="41" t="str">
        <f>'Gen Rev'!A479</f>
        <v>North Kingsville</v>
      </c>
      <c r="AN479" s="21" t="str">
        <f t="shared" si="50"/>
        <v>North Kingsville</v>
      </c>
      <c r="AO479" s="21" t="b">
        <f t="shared" si="51"/>
        <v>1</v>
      </c>
    </row>
    <row r="480" spans="1:41" ht="12" customHeight="1" x14ac:dyDescent="0.2">
      <c r="A480" s="1" t="s">
        <v>289</v>
      </c>
      <c r="C480" s="1" t="s">
        <v>287</v>
      </c>
      <c r="D480" s="23"/>
      <c r="E480" s="76">
        <v>96610.32</v>
      </c>
      <c r="F480" s="76"/>
      <c r="G480" s="76">
        <v>112.14</v>
      </c>
      <c r="H480" s="76"/>
      <c r="I480" s="76">
        <v>1687.45</v>
      </c>
      <c r="J480" s="76"/>
      <c r="K480" s="76">
        <v>0</v>
      </c>
      <c r="L480" s="76"/>
      <c r="M480" s="76">
        <v>9000</v>
      </c>
      <c r="N480" s="76"/>
      <c r="O480" s="76">
        <v>0</v>
      </c>
      <c r="P480" s="76"/>
      <c r="Q480" s="76">
        <v>169233.56</v>
      </c>
      <c r="R480" s="76"/>
      <c r="S480" s="76">
        <v>0</v>
      </c>
      <c r="T480" s="76"/>
      <c r="U480" s="76">
        <v>0</v>
      </c>
      <c r="V480" s="76"/>
      <c r="W480" s="76">
        <v>0</v>
      </c>
      <c r="X480" s="76"/>
      <c r="Y480" s="76">
        <v>0</v>
      </c>
      <c r="Z480" s="76"/>
      <c r="AA480" s="76">
        <v>0</v>
      </c>
      <c r="AB480" s="76"/>
      <c r="AC480" s="76">
        <v>7353.05</v>
      </c>
      <c r="AD480" s="76"/>
      <c r="AE480" s="76">
        <f t="shared" si="49"/>
        <v>283996.51999999996</v>
      </c>
      <c r="AF480" s="76"/>
      <c r="AG480" s="76">
        <v>55347.66</v>
      </c>
      <c r="AH480" s="76"/>
      <c r="AI480" s="76">
        <v>321254.78000000003</v>
      </c>
      <c r="AJ480" s="76"/>
      <c r="AK480" s="76">
        <v>376602.44</v>
      </c>
      <c r="AL480" s="24">
        <f>+'Gen Rev'!AI480-'Gen Exp'!AE480+'Gen Exp'!AI480-AK480</f>
        <v>0</v>
      </c>
      <c r="AM480" s="41" t="str">
        <f>'Gen Rev'!A480</f>
        <v>North Lewisburg</v>
      </c>
      <c r="AN480" s="21" t="str">
        <f t="shared" si="50"/>
        <v>North Lewisburg</v>
      </c>
      <c r="AO480" s="21" t="b">
        <f t="shared" si="51"/>
        <v>1</v>
      </c>
    </row>
    <row r="481" spans="1:41" ht="12" customHeight="1" x14ac:dyDescent="0.2">
      <c r="A481" s="10" t="s">
        <v>124</v>
      </c>
      <c r="B481" s="10"/>
      <c r="C481" s="10" t="s">
        <v>772</v>
      </c>
      <c r="D481" s="23"/>
      <c r="E481" s="76">
        <v>330552.19</v>
      </c>
      <c r="F481" s="76"/>
      <c r="G481" s="76">
        <v>93867</v>
      </c>
      <c r="H481" s="76"/>
      <c r="I481" s="76">
        <v>819497.11</v>
      </c>
      <c r="J481" s="76"/>
      <c r="K481" s="76">
        <v>114597.72</v>
      </c>
      <c r="L481" s="76"/>
      <c r="M481" s="76">
        <v>271449.39</v>
      </c>
      <c r="N481" s="76"/>
      <c r="O481" s="76">
        <v>0</v>
      </c>
      <c r="P481" s="76"/>
      <c r="Q481" s="76">
        <v>482363.56</v>
      </c>
      <c r="R481" s="76"/>
      <c r="S481" s="76">
        <v>0</v>
      </c>
      <c r="T481" s="76"/>
      <c r="U481" s="76">
        <v>0</v>
      </c>
      <c r="V481" s="76"/>
      <c r="W481" s="76">
        <v>0</v>
      </c>
      <c r="X481" s="76"/>
      <c r="Y481" s="76">
        <v>662012.5</v>
      </c>
      <c r="Z481" s="76"/>
      <c r="AA481" s="76">
        <v>0</v>
      </c>
      <c r="AB481" s="76"/>
      <c r="AC481" s="76">
        <v>0</v>
      </c>
      <c r="AD481" s="76"/>
      <c r="AE481" s="76">
        <f t="shared" si="49"/>
        <v>2774339.47</v>
      </c>
      <c r="AF481" s="76"/>
      <c r="AG481" s="76">
        <v>-798867</v>
      </c>
      <c r="AH481" s="76"/>
      <c r="AI481" s="76">
        <v>7112224.1900000004</v>
      </c>
      <c r="AJ481" s="76"/>
      <c r="AK481" s="76">
        <v>6313357.1900000004</v>
      </c>
      <c r="AL481" s="24">
        <f>+'Gen Rev'!AI481-'Gen Exp'!AE481+'Gen Exp'!AI481-AK481</f>
        <v>0</v>
      </c>
      <c r="AM481" s="41" t="str">
        <f>'Gen Rev'!A481</f>
        <v>North Perry</v>
      </c>
      <c r="AN481" s="21" t="str">
        <f t="shared" si="50"/>
        <v>North Perry</v>
      </c>
      <c r="AO481" s="21" t="b">
        <f t="shared" si="51"/>
        <v>1</v>
      </c>
    </row>
    <row r="482" spans="1:41" ht="12" customHeight="1" x14ac:dyDescent="0.2">
      <c r="A482" s="15" t="s">
        <v>831</v>
      </c>
      <c r="B482" s="15"/>
      <c r="C482" s="15" t="s">
        <v>751</v>
      </c>
      <c r="D482" s="28"/>
      <c r="E482" s="76">
        <v>711112</v>
      </c>
      <c r="F482" s="76"/>
      <c r="G482" s="76">
        <v>0</v>
      </c>
      <c r="H482" s="76"/>
      <c r="I482" s="76">
        <v>0</v>
      </c>
      <c r="J482" s="76"/>
      <c r="K482" s="76">
        <v>84717</v>
      </c>
      <c r="L482" s="76"/>
      <c r="M482" s="76">
        <v>92223</v>
      </c>
      <c r="N482" s="76"/>
      <c r="O482" s="76">
        <v>28088</v>
      </c>
      <c r="P482" s="76"/>
      <c r="Q482" s="76">
        <v>571394</v>
      </c>
      <c r="R482" s="76"/>
      <c r="S482" s="76">
        <v>0</v>
      </c>
      <c r="T482" s="76"/>
      <c r="U482" s="76">
        <v>0</v>
      </c>
      <c r="V482" s="76"/>
      <c r="W482" s="76">
        <v>0</v>
      </c>
      <c r="X482" s="76"/>
      <c r="Y482" s="76">
        <v>0</v>
      </c>
      <c r="Z482" s="76"/>
      <c r="AA482" s="76">
        <v>0</v>
      </c>
      <c r="AB482" s="76"/>
      <c r="AC482" s="76">
        <v>0</v>
      </c>
      <c r="AD482" s="76"/>
      <c r="AE482" s="76">
        <f t="shared" si="49"/>
        <v>1487534</v>
      </c>
      <c r="AF482" s="76"/>
      <c r="AG482" s="76">
        <v>2032</v>
      </c>
      <c r="AH482" s="76"/>
      <c r="AI482" s="76">
        <v>22358</v>
      </c>
      <c r="AJ482" s="76"/>
      <c r="AK482" s="76">
        <v>24390</v>
      </c>
      <c r="AL482" s="24">
        <f>+'Gen Rev'!AI482-'Gen Exp'!AE482+'Gen Exp'!AI482-AK482</f>
        <v>0</v>
      </c>
      <c r="AM482" s="41" t="str">
        <f>'Gen Rev'!A482</f>
        <v>North Randall</v>
      </c>
      <c r="AN482" s="21" t="str">
        <f t="shared" si="50"/>
        <v>North Randall</v>
      </c>
      <c r="AO482" s="21" t="b">
        <f t="shared" si="51"/>
        <v>1</v>
      </c>
    </row>
    <row r="483" spans="1:41" ht="12" customHeight="1" x14ac:dyDescent="0.2">
      <c r="A483" s="1" t="s">
        <v>314</v>
      </c>
      <c r="C483" s="1" t="s">
        <v>312</v>
      </c>
      <c r="E483" s="76">
        <v>5529</v>
      </c>
      <c r="F483" s="76"/>
      <c r="G483" s="76">
        <v>803</v>
      </c>
      <c r="H483" s="76"/>
      <c r="I483" s="76">
        <v>0</v>
      </c>
      <c r="J483" s="76"/>
      <c r="K483" s="76">
        <v>0</v>
      </c>
      <c r="L483" s="76"/>
      <c r="M483" s="76">
        <v>1258</v>
      </c>
      <c r="N483" s="76"/>
      <c r="O483" s="76">
        <v>0</v>
      </c>
      <c r="P483" s="76"/>
      <c r="Q483" s="76">
        <v>16820</v>
      </c>
      <c r="R483" s="76"/>
      <c r="S483" s="76">
        <v>0</v>
      </c>
      <c r="T483" s="76"/>
      <c r="U483" s="76">
        <v>0</v>
      </c>
      <c r="V483" s="76"/>
      <c r="W483" s="76">
        <v>0</v>
      </c>
      <c r="X483" s="76"/>
      <c r="Y483" s="76">
        <v>0</v>
      </c>
      <c r="Z483" s="76"/>
      <c r="AA483" s="76">
        <v>0</v>
      </c>
      <c r="AB483" s="76"/>
      <c r="AC483" s="76">
        <v>0</v>
      </c>
      <c r="AD483" s="76"/>
      <c r="AE483" s="76">
        <f t="shared" si="49"/>
        <v>24410</v>
      </c>
      <c r="AF483" s="76"/>
      <c r="AG483" s="76">
        <v>-7731</v>
      </c>
      <c r="AH483" s="76"/>
      <c r="AI483" s="76">
        <v>19561</v>
      </c>
      <c r="AJ483" s="76"/>
      <c r="AK483" s="76">
        <v>11830</v>
      </c>
      <c r="AL483" s="24">
        <f>+'Gen Rev'!AI483-'Gen Exp'!AE483+'Gen Exp'!AI483-AK483</f>
        <v>0</v>
      </c>
      <c r="AM483" s="41" t="str">
        <f>'Gen Rev'!A483</f>
        <v>North Robinson</v>
      </c>
      <c r="AN483" s="21" t="str">
        <f t="shared" si="50"/>
        <v>North Robinson</v>
      </c>
      <c r="AO483" s="21" t="b">
        <f t="shared" si="51"/>
        <v>1</v>
      </c>
    </row>
    <row r="484" spans="1:41" ht="12" customHeight="1" x14ac:dyDescent="0.2">
      <c r="A484" s="1" t="s">
        <v>334</v>
      </c>
      <c r="C484" s="1" t="s">
        <v>329</v>
      </c>
      <c r="E484" s="76">
        <v>2518</v>
      </c>
      <c r="F484" s="76"/>
      <c r="G484" s="76">
        <v>0</v>
      </c>
      <c r="H484" s="76"/>
      <c r="I484" s="76">
        <v>10570</v>
      </c>
      <c r="J484" s="76"/>
      <c r="K484" s="76">
        <v>10939</v>
      </c>
      <c r="L484" s="76"/>
      <c r="M484" s="76">
        <v>4539</v>
      </c>
      <c r="N484" s="76"/>
      <c r="O484" s="76">
        <v>241</v>
      </c>
      <c r="P484" s="76"/>
      <c r="Q484" s="76">
        <v>88034</v>
      </c>
      <c r="R484" s="76"/>
      <c r="S484" s="76">
        <v>0</v>
      </c>
      <c r="T484" s="76"/>
      <c r="U484" s="76">
        <v>0</v>
      </c>
      <c r="V484" s="76"/>
      <c r="W484" s="76">
        <v>0</v>
      </c>
      <c r="X484" s="76"/>
      <c r="Y484" s="76">
        <v>0</v>
      </c>
      <c r="Z484" s="76"/>
      <c r="AA484" s="76">
        <v>0</v>
      </c>
      <c r="AB484" s="76"/>
      <c r="AC484" s="76">
        <v>0</v>
      </c>
      <c r="AD484" s="76"/>
      <c r="AE484" s="76">
        <f t="shared" si="49"/>
        <v>116841</v>
      </c>
      <c r="AF484" s="76"/>
      <c r="AG484" s="76">
        <f>'Gen Rev'!AI484-'Gen Exp'!AE484</f>
        <v>-58926</v>
      </c>
      <c r="AH484" s="76"/>
      <c r="AI484" s="76">
        <f>AK484-AG484</f>
        <v>292095</v>
      </c>
      <c r="AJ484" s="76"/>
      <c r="AK484" s="76">
        <v>233169</v>
      </c>
      <c r="AL484" s="24">
        <f>+'Gen Rev'!AI484-'Gen Exp'!AE484+'Gen Exp'!AI484-AK484</f>
        <v>0</v>
      </c>
      <c r="AM484" s="41" t="str">
        <f>'Gen Rev'!A484</f>
        <v xml:space="preserve">North Star </v>
      </c>
      <c r="AN484" s="21" t="str">
        <f t="shared" si="50"/>
        <v xml:space="preserve">North Star </v>
      </c>
      <c r="AO484" s="21" t="b">
        <f t="shared" si="51"/>
        <v>1</v>
      </c>
    </row>
    <row r="485" spans="1:41" s="19" customFormat="1" ht="12" customHeight="1" x14ac:dyDescent="0.2">
      <c r="A485" s="1" t="s">
        <v>551</v>
      </c>
      <c r="B485" s="1"/>
      <c r="C485" s="1" t="s">
        <v>549</v>
      </c>
      <c r="D485" s="1"/>
      <c r="E485" s="76">
        <v>945709</v>
      </c>
      <c r="F485" s="76"/>
      <c r="G485" s="76">
        <v>25310</v>
      </c>
      <c r="H485" s="76"/>
      <c r="I485" s="76">
        <v>117753</v>
      </c>
      <c r="J485" s="76"/>
      <c r="K485" s="76">
        <v>0</v>
      </c>
      <c r="L485" s="76"/>
      <c r="M485" s="76">
        <v>0</v>
      </c>
      <c r="N485" s="76"/>
      <c r="O485" s="76">
        <v>444959</v>
      </c>
      <c r="P485" s="76"/>
      <c r="Q485" s="76">
        <v>467856</v>
      </c>
      <c r="R485" s="76"/>
      <c r="S485" s="76">
        <v>109511</v>
      </c>
      <c r="T485" s="76"/>
      <c r="U485" s="76">
        <v>0</v>
      </c>
      <c r="V485" s="76"/>
      <c r="W485" s="76">
        <v>0</v>
      </c>
      <c r="X485" s="76"/>
      <c r="Y485" s="76">
        <v>0</v>
      </c>
      <c r="Z485" s="76"/>
      <c r="AA485" s="76">
        <v>0</v>
      </c>
      <c r="AB485" s="76"/>
      <c r="AC485" s="76">
        <v>0</v>
      </c>
      <c r="AD485" s="76"/>
      <c r="AE485" s="76">
        <f t="shared" si="49"/>
        <v>2111098</v>
      </c>
      <c r="AF485" s="76"/>
      <c r="AG485" s="76">
        <v>-233420</v>
      </c>
      <c r="AH485" s="76"/>
      <c r="AI485" s="76">
        <v>342971</v>
      </c>
      <c r="AJ485" s="76"/>
      <c r="AK485" s="76">
        <v>109552</v>
      </c>
      <c r="AL485" s="24">
        <f>+'Gen Rev'!AI485-'Gen Exp'!AE485+'Gen Exp'!AI485-AK485</f>
        <v>0</v>
      </c>
      <c r="AM485" s="41" t="str">
        <f>'Gen Rev'!A485</f>
        <v>Northfield</v>
      </c>
      <c r="AN485" s="21" t="str">
        <f t="shared" si="50"/>
        <v>Northfield</v>
      </c>
      <c r="AO485" s="21" t="b">
        <f t="shared" si="51"/>
        <v>1</v>
      </c>
    </row>
    <row r="486" spans="1:41" ht="12" customHeight="1" x14ac:dyDescent="0.2">
      <c r="A486" s="1" t="s">
        <v>176</v>
      </c>
      <c r="C486" s="1" t="s">
        <v>789</v>
      </c>
      <c r="D486" s="15"/>
      <c r="E486" s="76">
        <v>2019.94</v>
      </c>
      <c r="F486" s="76"/>
      <c r="G486" s="76">
        <v>0</v>
      </c>
      <c r="H486" s="76"/>
      <c r="I486" s="76">
        <v>0</v>
      </c>
      <c r="J486" s="76"/>
      <c r="K486" s="76">
        <v>0</v>
      </c>
      <c r="L486" s="76"/>
      <c r="M486" s="76">
        <v>0</v>
      </c>
      <c r="N486" s="76"/>
      <c r="O486" s="76">
        <v>0</v>
      </c>
      <c r="P486" s="76"/>
      <c r="Q486" s="76">
        <v>15678.26</v>
      </c>
      <c r="R486" s="76"/>
      <c r="S486" s="76">
        <v>803.83</v>
      </c>
      <c r="T486" s="76"/>
      <c r="U486" s="76">
        <v>0</v>
      </c>
      <c r="V486" s="76"/>
      <c r="W486" s="76">
        <v>0</v>
      </c>
      <c r="X486" s="76"/>
      <c r="Y486" s="76">
        <v>0</v>
      </c>
      <c r="Z486" s="76"/>
      <c r="AA486" s="76">
        <v>0</v>
      </c>
      <c r="AB486" s="76"/>
      <c r="AC486" s="76">
        <v>60</v>
      </c>
      <c r="AD486" s="76"/>
      <c r="AE486" s="76">
        <f t="shared" si="49"/>
        <v>18562.030000000002</v>
      </c>
      <c r="AF486" s="76"/>
      <c r="AG486" s="76">
        <v>2656.1</v>
      </c>
      <c r="AH486" s="76"/>
      <c r="AI486" s="76">
        <v>99346.87</v>
      </c>
      <c r="AJ486" s="76"/>
      <c r="AK486" s="76">
        <v>102002.97</v>
      </c>
      <c r="AL486" s="24">
        <f>+'Gen Rev'!AI486-'Gen Exp'!AE486+'Gen Exp'!AI486-AK486</f>
        <v>0</v>
      </c>
      <c r="AM486" s="41" t="str">
        <f>'Gen Rev'!A486</f>
        <v>Norwich</v>
      </c>
      <c r="AN486" s="21" t="str">
        <f t="shared" si="50"/>
        <v>Norwich</v>
      </c>
      <c r="AO486" s="21" t="b">
        <f t="shared" si="51"/>
        <v>1</v>
      </c>
    </row>
    <row r="487" spans="1:41" s="21" customFormat="1" ht="12" customHeight="1" x14ac:dyDescent="0.2">
      <c r="A487" s="15" t="s">
        <v>494</v>
      </c>
      <c r="B487" s="15"/>
      <c r="C487" s="15" t="s">
        <v>207</v>
      </c>
      <c r="D487" s="15"/>
      <c r="E487" s="76">
        <v>651292</v>
      </c>
      <c r="F487" s="76"/>
      <c r="G487" s="76">
        <v>8235</v>
      </c>
      <c r="H487" s="76"/>
      <c r="I487" s="76">
        <v>58576</v>
      </c>
      <c r="J487" s="76"/>
      <c r="K487" s="76">
        <v>1692</v>
      </c>
      <c r="L487" s="76"/>
      <c r="M487" s="76">
        <v>0</v>
      </c>
      <c r="N487" s="76"/>
      <c r="O487" s="76">
        <v>202173</v>
      </c>
      <c r="P487" s="76"/>
      <c r="Q487" s="76">
        <v>264962</v>
      </c>
      <c r="R487" s="76"/>
      <c r="S487" s="76">
        <v>29475</v>
      </c>
      <c r="T487" s="76"/>
      <c r="U487" s="76">
        <v>0</v>
      </c>
      <c r="V487" s="76"/>
      <c r="W487" s="76">
        <v>0</v>
      </c>
      <c r="X487" s="76"/>
      <c r="Y487" s="76">
        <v>62000</v>
      </c>
      <c r="Z487" s="76"/>
      <c r="AA487" s="76">
        <v>0</v>
      </c>
      <c r="AB487" s="76"/>
      <c r="AC487" s="76">
        <v>13256</v>
      </c>
      <c r="AD487" s="76"/>
      <c r="AE487" s="76">
        <f t="shared" si="49"/>
        <v>1291661</v>
      </c>
      <c r="AF487" s="76"/>
      <c r="AG487" s="76">
        <v>-44451</v>
      </c>
      <c r="AH487" s="76"/>
      <c r="AI487" s="76">
        <v>921240</v>
      </c>
      <c r="AJ487" s="76"/>
      <c r="AK487" s="76">
        <v>876789</v>
      </c>
      <c r="AL487" s="24">
        <f>+'Gen Rev'!AI487-'Gen Exp'!AE487+'Gen Exp'!AI487-AK487</f>
        <v>0</v>
      </c>
      <c r="AM487" s="41" t="str">
        <f>'Gen Rev'!A487</f>
        <v>Oak Harbor</v>
      </c>
      <c r="AN487" s="21" t="str">
        <f t="shared" si="50"/>
        <v>Oak Harbor</v>
      </c>
      <c r="AO487" s="21" t="b">
        <f t="shared" si="51"/>
        <v>1</v>
      </c>
    </row>
    <row r="488" spans="1:41" ht="12" customHeight="1" x14ac:dyDescent="0.2">
      <c r="A488" s="1" t="s">
        <v>114</v>
      </c>
      <c r="C488" s="1" t="s">
        <v>663</v>
      </c>
      <c r="D488" s="23"/>
      <c r="E488" s="76">
        <v>274272.65000000002</v>
      </c>
      <c r="F488" s="76"/>
      <c r="G488" s="76">
        <v>561.39</v>
      </c>
      <c r="H488" s="76"/>
      <c r="I488" s="76">
        <v>0</v>
      </c>
      <c r="J488" s="76"/>
      <c r="K488" s="76">
        <v>0</v>
      </c>
      <c r="L488" s="76"/>
      <c r="M488" s="76">
        <v>7651.12</v>
      </c>
      <c r="N488" s="76"/>
      <c r="O488" s="76">
        <v>160.19999999999999</v>
      </c>
      <c r="P488" s="76"/>
      <c r="Q488" s="76">
        <v>42201.68</v>
      </c>
      <c r="R488" s="76"/>
      <c r="S488" s="76">
        <v>0</v>
      </c>
      <c r="T488" s="76"/>
      <c r="U488" s="76">
        <v>0</v>
      </c>
      <c r="V488" s="76"/>
      <c r="W488" s="76">
        <v>0</v>
      </c>
      <c r="X488" s="76"/>
      <c r="Y488" s="76">
        <v>0</v>
      </c>
      <c r="Z488" s="76"/>
      <c r="AA488" s="76">
        <v>102556.39</v>
      </c>
      <c r="AB488" s="76"/>
      <c r="AC488" s="76">
        <v>0</v>
      </c>
      <c r="AD488" s="76"/>
      <c r="AE488" s="76">
        <f t="shared" si="49"/>
        <v>427403.43000000005</v>
      </c>
      <c r="AF488" s="76"/>
      <c r="AG488" s="76">
        <v>-38792.449999999997</v>
      </c>
      <c r="AH488" s="76"/>
      <c r="AI488" s="76">
        <v>31711.200000000001</v>
      </c>
      <c r="AJ488" s="76"/>
      <c r="AK488" s="76">
        <v>-7081.25</v>
      </c>
      <c r="AL488" s="24">
        <f>+'Gen Rev'!AI488-'Gen Exp'!AE488+'Gen Exp'!AI488-AK488</f>
        <v>-1.0913936421275139E-11</v>
      </c>
      <c r="AM488" s="41" t="str">
        <f>'Gen Rev'!A488</f>
        <v>Oak Hill</v>
      </c>
      <c r="AN488" s="21" t="str">
        <f t="shared" si="50"/>
        <v>Oak Hill</v>
      </c>
      <c r="AO488" s="21" t="b">
        <f t="shared" si="51"/>
        <v>1</v>
      </c>
    </row>
    <row r="489" spans="1:41" s="21" customFormat="1" ht="12" customHeight="1" x14ac:dyDescent="0.2">
      <c r="A489" s="1" t="s">
        <v>325</v>
      </c>
      <c r="B489" s="1"/>
      <c r="C489" s="1" t="s">
        <v>316</v>
      </c>
      <c r="D489" s="1"/>
      <c r="E489" s="76">
        <v>2997846</v>
      </c>
      <c r="F489" s="76"/>
      <c r="G489" s="76">
        <v>0</v>
      </c>
      <c r="H489" s="76"/>
      <c r="I489" s="76">
        <v>0</v>
      </c>
      <c r="J489" s="76"/>
      <c r="K489" s="76">
        <v>241415</v>
      </c>
      <c r="L489" s="76"/>
      <c r="M489" s="76">
        <v>191988</v>
      </c>
      <c r="N489" s="76"/>
      <c r="O489" s="76">
        <v>27708</v>
      </c>
      <c r="P489" s="76"/>
      <c r="Q489" s="76">
        <v>2500424</v>
      </c>
      <c r="R489" s="76"/>
      <c r="S489" s="76">
        <v>0</v>
      </c>
      <c r="T489" s="76"/>
      <c r="U489" s="76">
        <v>0</v>
      </c>
      <c r="V489" s="76"/>
      <c r="W489" s="76">
        <v>0</v>
      </c>
      <c r="X489" s="76"/>
      <c r="Y489" s="76">
        <v>1302366</v>
      </c>
      <c r="Z489" s="76"/>
      <c r="AA489" s="76">
        <v>0</v>
      </c>
      <c r="AB489" s="76"/>
      <c r="AC489" s="76">
        <v>0</v>
      </c>
      <c r="AD489" s="76"/>
      <c r="AE489" s="76">
        <f t="shared" si="49"/>
        <v>7261747</v>
      </c>
      <c r="AF489" s="76"/>
      <c r="AG489" s="76">
        <v>18724</v>
      </c>
      <c r="AH489" s="76"/>
      <c r="AI489" s="76">
        <v>196822</v>
      </c>
      <c r="AJ489" s="76"/>
      <c r="AK489" s="76">
        <v>215546</v>
      </c>
      <c r="AL489" s="24">
        <f>+'Gen Rev'!AI489-'Gen Exp'!AE489+'Gen Exp'!AI489-AK489</f>
        <v>0</v>
      </c>
      <c r="AM489" s="41" t="str">
        <f>'Gen Rev'!A489</f>
        <v>Oakwood</v>
      </c>
      <c r="AN489" s="21" t="str">
        <f t="shared" si="50"/>
        <v>Oakwood</v>
      </c>
      <c r="AO489" s="21" t="b">
        <f t="shared" si="51"/>
        <v>1</v>
      </c>
    </row>
    <row r="490" spans="1:41" ht="12" customHeight="1" x14ac:dyDescent="0.2">
      <c r="A490" s="1" t="s">
        <v>325</v>
      </c>
      <c r="C490" s="1" t="s">
        <v>496</v>
      </c>
      <c r="E490" s="76">
        <v>0</v>
      </c>
      <c r="F490" s="76"/>
      <c r="G490" s="76">
        <v>0</v>
      </c>
      <c r="H490" s="76"/>
      <c r="I490" s="76">
        <v>0</v>
      </c>
      <c r="J490" s="76"/>
      <c r="K490" s="76">
        <v>0</v>
      </c>
      <c r="L490" s="76"/>
      <c r="M490" s="76">
        <v>0</v>
      </c>
      <c r="N490" s="76"/>
      <c r="O490" s="76">
        <v>0</v>
      </c>
      <c r="P490" s="76"/>
      <c r="Q490" s="76">
        <v>86922</v>
      </c>
      <c r="R490" s="76"/>
      <c r="S490" s="76">
        <v>0</v>
      </c>
      <c r="T490" s="76"/>
      <c r="U490" s="76">
        <v>0</v>
      </c>
      <c r="V490" s="76"/>
      <c r="W490" s="76">
        <v>0</v>
      </c>
      <c r="X490" s="76"/>
      <c r="Y490" s="76">
        <v>35000</v>
      </c>
      <c r="Z490" s="76"/>
      <c r="AA490" s="76">
        <v>0</v>
      </c>
      <c r="AB490" s="76"/>
      <c r="AC490" s="76">
        <v>11000</v>
      </c>
      <c r="AD490" s="76"/>
      <c r="AE490" s="76">
        <f t="shared" si="49"/>
        <v>132922</v>
      </c>
      <c r="AF490" s="76"/>
      <c r="AG490" s="76">
        <v>4158</v>
      </c>
      <c r="AH490" s="76"/>
      <c r="AI490" s="76">
        <v>47654</v>
      </c>
      <c r="AJ490" s="76"/>
      <c r="AK490" s="76">
        <v>51811</v>
      </c>
      <c r="AL490" s="24">
        <f>+'Gen Rev'!AI490-'Gen Exp'!AE490+'Gen Exp'!AI490-AK490</f>
        <v>0</v>
      </c>
      <c r="AM490" s="41" t="str">
        <f>'Gen Rev'!A490</f>
        <v>Oakwood</v>
      </c>
      <c r="AN490" s="21" t="str">
        <f t="shared" si="50"/>
        <v>Oakwood</v>
      </c>
      <c r="AO490" s="21" t="b">
        <f t="shared" si="51"/>
        <v>1</v>
      </c>
    </row>
    <row r="491" spans="1:41" s="36" customFormat="1" ht="12" customHeight="1" x14ac:dyDescent="0.2">
      <c r="A491" s="37" t="s">
        <v>75</v>
      </c>
      <c r="B491" s="37"/>
      <c r="C491" s="37" t="s">
        <v>353</v>
      </c>
      <c r="D491" s="1"/>
      <c r="E491" s="76">
        <v>1567087.97</v>
      </c>
      <c r="F491" s="76"/>
      <c r="G491" s="76">
        <v>22120.799999999999</v>
      </c>
      <c r="H491" s="76"/>
      <c r="I491" s="76">
        <v>961514.76</v>
      </c>
      <c r="J491" s="76"/>
      <c r="K491" s="76">
        <v>1124853.49</v>
      </c>
      <c r="L491" s="76"/>
      <c r="M491" s="76">
        <v>0</v>
      </c>
      <c r="N491" s="76"/>
      <c r="O491" s="76">
        <v>109706.01</v>
      </c>
      <c r="P491" s="76"/>
      <c r="Q491" s="76">
        <v>1093707.9099999999</v>
      </c>
      <c r="R491" s="76"/>
      <c r="S491" s="76">
        <v>397293.07</v>
      </c>
      <c r="T491" s="76"/>
      <c r="U491" s="76">
        <v>0</v>
      </c>
      <c r="V491" s="76"/>
      <c r="W491" s="76">
        <v>199822.69</v>
      </c>
      <c r="X491" s="76"/>
      <c r="Y491" s="76">
        <v>0</v>
      </c>
      <c r="Z491" s="76"/>
      <c r="AA491" s="76">
        <v>0</v>
      </c>
      <c r="AB491" s="76"/>
      <c r="AC491" s="76">
        <v>0</v>
      </c>
      <c r="AD491" s="76"/>
      <c r="AE491" s="76">
        <f t="shared" si="49"/>
        <v>5476106.7000000011</v>
      </c>
      <c r="AF491" s="76"/>
      <c r="AG491" s="76">
        <v>673786.59</v>
      </c>
      <c r="AH491" s="76"/>
      <c r="AI491" s="76">
        <v>2528263.98</v>
      </c>
      <c r="AJ491" s="76"/>
      <c r="AK491" s="76">
        <v>3202050.57</v>
      </c>
      <c r="AL491" s="24">
        <f>+'Gen Rev'!AI491-'Gen Exp'!AE491+'Gen Exp'!AI491-AK491</f>
        <v>0</v>
      </c>
      <c r="AM491" s="41" t="str">
        <f>'Gen Rev'!A491</f>
        <v>Obetz</v>
      </c>
      <c r="AN491" s="21" t="str">
        <f t="shared" si="50"/>
        <v>Obetz</v>
      </c>
      <c r="AO491" s="21" t="b">
        <f t="shared" si="51"/>
        <v>1</v>
      </c>
    </row>
    <row r="492" spans="1:41" ht="12" customHeight="1" x14ac:dyDescent="0.2">
      <c r="A492" s="1" t="s">
        <v>71</v>
      </c>
      <c r="C492" s="1" t="s">
        <v>757</v>
      </c>
      <c r="D492" s="49"/>
      <c r="E492" s="76">
        <v>8543.74</v>
      </c>
      <c r="F492" s="76"/>
      <c r="G492" s="76">
        <v>0</v>
      </c>
      <c r="H492" s="76"/>
      <c r="I492" s="76">
        <v>1363.14</v>
      </c>
      <c r="J492" s="76"/>
      <c r="K492" s="76">
        <v>2365.13</v>
      </c>
      <c r="L492" s="76"/>
      <c r="M492" s="76">
        <v>5424.7</v>
      </c>
      <c r="N492" s="76"/>
      <c r="O492" s="76">
        <v>1734.85</v>
      </c>
      <c r="P492" s="76"/>
      <c r="Q492" s="76">
        <v>50572.18</v>
      </c>
      <c r="R492" s="76"/>
      <c r="S492" s="76">
        <v>0</v>
      </c>
      <c r="T492" s="76"/>
      <c r="U492" s="76">
        <v>0</v>
      </c>
      <c r="V492" s="76"/>
      <c r="W492" s="76">
        <v>0</v>
      </c>
      <c r="X492" s="76"/>
      <c r="Y492" s="76">
        <v>5500</v>
      </c>
      <c r="Z492" s="76"/>
      <c r="AA492" s="76">
        <v>5175</v>
      </c>
      <c r="AB492" s="76"/>
      <c r="AC492" s="76">
        <v>0</v>
      </c>
      <c r="AD492" s="76"/>
      <c r="AE492" s="76">
        <f t="shared" si="49"/>
        <v>80678.739999999991</v>
      </c>
      <c r="AF492" s="76"/>
      <c r="AG492" s="76">
        <v>-2377.92</v>
      </c>
      <c r="AH492" s="76"/>
      <c r="AI492" s="76">
        <v>2583.59</v>
      </c>
      <c r="AJ492" s="76"/>
      <c r="AK492" s="76">
        <v>205.67</v>
      </c>
      <c r="AL492" s="24">
        <f>+'Gen Rev'!AI492-'Gen Exp'!AE492+'Gen Exp'!AI492-AK492</f>
        <v>1.9042545318370685E-12</v>
      </c>
      <c r="AM492" s="41" t="str">
        <f>'Gen Rev'!A492</f>
        <v>Octa</v>
      </c>
      <c r="AN492" s="21" t="str">
        <f t="shared" si="50"/>
        <v>Octa</v>
      </c>
      <c r="AO492" s="21" t="b">
        <f t="shared" si="51"/>
        <v>1</v>
      </c>
    </row>
    <row r="493" spans="1:41" ht="12" customHeight="1" x14ac:dyDescent="0.2">
      <c r="A493" s="1" t="s">
        <v>573</v>
      </c>
      <c r="C493" s="1" t="s">
        <v>572</v>
      </c>
      <c r="E493" s="76">
        <v>24495</v>
      </c>
      <c r="F493" s="76"/>
      <c r="G493" s="76">
        <v>4525</v>
      </c>
      <c r="H493" s="76"/>
      <c r="I493" s="76">
        <v>3197</v>
      </c>
      <c r="J493" s="76"/>
      <c r="K493" s="76">
        <v>0</v>
      </c>
      <c r="L493" s="76"/>
      <c r="M493" s="76">
        <v>3828</v>
      </c>
      <c r="N493" s="76"/>
      <c r="O493" s="76">
        <v>0</v>
      </c>
      <c r="P493" s="76"/>
      <c r="Q493" s="76">
        <v>109755</v>
      </c>
      <c r="R493" s="76"/>
      <c r="S493" s="76">
        <v>70206</v>
      </c>
      <c r="T493" s="76"/>
      <c r="U493" s="76">
        <v>0</v>
      </c>
      <c r="V493" s="76"/>
      <c r="W493" s="76">
        <v>0</v>
      </c>
      <c r="X493" s="76"/>
      <c r="Y493" s="76">
        <v>51130</v>
      </c>
      <c r="Z493" s="76"/>
      <c r="AA493" s="76">
        <v>0</v>
      </c>
      <c r="AB493" s="76"/>
      <c r="AC493" s="76">
        <v>0</v>
      </c>
      <c r="AD493" s="76"/>
      <c r="AE493" s="76">
        <f t="shared" si="49"/>
        <v>267136</v>
      </c>
      <c r="AF493" s="76"/>
      <c r="AG493" s="76">
        <v>-69524</v>
      </c>
      <c r="AH493" s="76"/>
      <c r="AI493" s="76">
        <v>141421</v>
      </c>
      <c r="AJ493" s="76"/>
      <c r="AK493" s="76">
        <v>71897</v>
      </c>
      <c r="AL493" s="24">
        <f>+'Gen Rev'!AI493-'Gen Exp'!AE493+'Gen Exp'!AI493-AK493</f>
        <v>0</v>
      </c>
      <c r="AM493" s="41" t="str">
        <f>'Gen Rev'!A493</f>
        <v xml:space="preserve">Ohio City </v>
      </c>
      <c r="AN493" s="21" t="str">
        <f t="shared" si="50"/>
        <v xml:space="preserve">Ohio City </v>
      </c>
      <c r="AO493" s="21" t="b">
        <f t="shared" si="51"/>
        <v>1</v>
      </c>
    </row>
    <row r="494" spans="1:41" s="21" customFormat="1" ht="12" customHeight="1" x14ac:dyDescent="0.2">
      <c r="A494" s="1" t="s">
        <v>951</v>
      </c>
      <c r="B494" s="1"/>
      <c r="C494" s="1" t="s">
        <v>375</v>
      </c>
      <c r="D494" s="23"/>
      <c r="E494" s="76">
        <v>16483.509999999998</v>
      </c>
      <c r="F494" s="76"/>
      <c r="G494" s="76">
        <v>34.15</v>
      </c>
      <c r="H494" s="76"/>
      <c r="I494" s="76">
        <v>0</v>
      </c>
      <c r="J494" s="76"/>
      <c r="K494" s="76">
        <v>158.62</v>
      </c>
      <c r="L494" s="76"/>
      <c r="M494" s="76">
        <v>531.89</v>
      </c>
      <c r="N494" s="76"/>
      <c r="O494" s="76">
        <v>1599.85</v>
      </c>
      <c r="P494" s="76"/>
      <c r="Q494" s="76">
        <v>25440.34</v>
      </c>
      <c r="R494" s="76"/>
      <c r="S494" s="76">
        <v>0</v>
      </c>
      <c r="T494" s="76"/>
      <c r="U494" s="76">
        <v>0</v>
      </c>
      <c r="V494" s="76"/>
      <c r="W494" s="76">
        <v>0</v>
      </c>
      <c r="X494" s="76"/>
      <c r="Y494" s="76">
        <v>0</v>
      </c>
      <c r="Z494" s="76"/>
      <c r="AA494" s="76">
        <v>0</v>
      </c>
      <c r="AB494" s="76"/>
      <c r="AC494" s="76">
        <v>0</v>
      </c>
      <c r="AD494" s="76"/>
      <c r="AE494" s="76">
        <f t="shared" si="49"/>
        <v>44248.36</v>
      </c>
      <c r="AF494" s="76"/>
      <c r="AG494" s="76">
        <v>2511.96</v>
      </c>
      <c r="AH494" s="76"/>
      <c r="AI494" s="76">
        <v>70723.259999999995</v>
      </c>
      <c r="AJ494" s="76"/>
      <c r="AK494" s="76">
        <v>73235.22</v>
      </c>
      <c r="AL494" s="24">
        <f>+'Gen Rev'!AI494-'Gen Exp'!AE494+'Gen Exp'!AI494-AK494</f>
        <v>0</v>
      </c>
      <c r="AM494" s="41" t="str">
        <f>'Gen Rev'!A494</f>
        <v>Old Washington</v>
      </c>
      <c r="AN494" s="21" t="str">
        <f t="shared" si="50"/>
        <v>Old Washington</v>
      </c>
      <c r="AO494" s="21" t="b">
        <f t="shared" si="51"/>
        <v>1</v>
      </c>
    </row>
    <row r="495" spans="1:41" s="15" customFormat="1" ht="12" customHeight="1" x14ac:dyDescent="0.2">
      <c r="A495" s="1" t="s">
        <v>905</v>
      </c>
      <c r="B495" s="1"/>
      <c r="C495" s="1" t="s">
        <v>316</v>
      </c>
      <c r="D495" s="1"/>
      <c r="E495" s="76">
        <v>2487128</v>
      </c>
      <c r="F495" s="76"/>
      <c r="G495" s="76">
        <v>0</v>
      </c>
      <c r="H495" s="76"/>
      <c r="I495" s="76">
        <v>0</v>
      </c>
      <c r="J495" s="76"/>
      <c r="K495" s="76">
        <v>195948</v>
      </c>
      <c r="L495" s="76"/>
      <c r="M495" s="76">
        <v>177484</v>
      </c>
      <c r="N495" s="76"/>
      <c r="O495" s="76">
        <v>591923</v>
      </c>
      <c r="P495" s="76"/>
      <c r="Q495" s="76">
        <v>1271893</v>
      </c>
      <c r="R495" s="76"/>
      <c r="S495" s="76">
        <v>0</v>
      </c>
      <c r="T495" s="76"/>
      <c r="U495" s="76">
        <v>0</v>
      </c>
      <c r="V495" s="76"/>
      <c r="W495" s="76">
        <v>0</v>
      </c>
      <c r="X495" s="76"/>
      <c r="Y495" s="76">
        <v>1014886</v>
      </c>
      <c r="Z495" s="76"/>
      <c r="AA495" s="76">
        <v>0</v>
      </c>
      <c r="AB495" s="76"/>
      <c r="AC495" s="76">
        <v>0</v>
      </c>
      <c r="AD495" s="76"/>
      <c r="AE495" s="76">
        <f t="shared" si="49"/>
        <v>5739262</v>
      </c>
      <c r="AF495" s="76"/>
      <c r="AG495" s="76">
        <v>-265656</v>
      </c>
      <c r="AH495" s="76"/>
      <c r="AI495" s="76">
        <v>2064244</v>
      </c>
      <c r="AJ495" s="76"/>
      <c r="AK495" s="76">
        <v>1798588</v>
      </c>
      <c r="AL495" s="24">
        <f>+'Gen Rev'!AI495-'Gen Exp'!AE495+'Gen Exp'!AI495-AK495</f>
        <v>0</v>
      </c>
      <c r="AM495" s="41" t="str">
        <f>'Gen Rev'!A495</f>
        <v xml:space="preserve">Orange </v>
      </c>
      <c r="AN495" s="21" t="str">
        <f t="shared" si="50"/>
        <v xml:space="preserve">Orange </v>
      </c>
      <c r="AO495" s="21" t="b">
        <f t="shared" si="51"/>
        <v>1</v>
      </c>
    </row>
    <row r="496" spans="1:41" s="10" customFormat="1" ht="12" customHeight="1" x14ac:dyDescent="0.2">
      <c r="A496" s="1" t="s">
        <v>229</v>
      </c>
      <c r="B496" s="1"/>
      <c r="C496" s="1" t="s">
        <v>805</v>
      </c>
      <c r="D496" s="23"/>
      <c r="E496" s="76">
        <v>5069.72</v>
      </c>
      <c r="F496" s="76"/>
      <c r="G496" s="76">
        <v>0</v>
      </c>
      <c r="H496" s="76"/>
      <c r="I496" s="76">
        <v>0</v>
      </c>
      <c r="J496" s="76"/>
      <c r="K496" s="76">
        <v>0</v>
      </c>
      <c r="L496" s="76"/>
      <c r="M496" s="76">
        <v>0</v>
      </c>
      <c r="N496" s="76"/>
      <c r="O496" s="76">
        <v>0</v>
      </c>
      <c r="P496" s="76"/>
      <c r="Q496" s="76">
        <v>14567.27</v>
      </c>
      <c r="R496" s="76"/>
      <c r="S496" s="76">
        <v>0</v>
      </c>
      <c r="T496" s="76"/>
      <c r="U496" s="76">
        <v>0</v>
      </c>
      <c r="V496" s="76"/>
      <c r="W496" s="76">
        <v>0</v>
      </c>
      <c r="X496" s="76"/>
      <c r="Y496" s="76">
        <v>0</v>
      </c>
      <c r="Z496" s="76"/>
      <c r="AA496" s="76">
        <v>0</v>
      </c>
      <c r="AB496" s="76"/>
      <c r="AC496" s="76">
        <v>0</v>
      </c>
      <c r="AD496" s="76"/>
      <c r="AE496" s="76">
        <f t="shared" si="49"/>
        <v>19636.990000000002</v>
      </c>
      <c r="AF496" s="76"/>
      <c r="AG496" s="76">
        <v>807.3</v>
      </c>
      <c r="AH496" s="76"/>
      <c r="AI496" s="76">
        <v>36079.360000000001</v>
      </c>
      <c r="AJ496" s="76"/>
      <c r="AK496" s="76">
        <v>36886.660000000003</v>
      </c>
      <c r="AL496" s="24">
        <f>+'Gen Rev'!AI496-'Gen Exp'!AE496+'Gen Exp'!AI496-AK496</f>
        <v>0</v>
      </c>
      <c r="AM496" s="41" t="str">
        <f>'Gen Rev'!A496</f>
        <v>Orangeville</v>
      </c>
      <c r="AN496" s="21" t="str">
        <f t="shared" si="50"/>
        <v>Orangeville</v>
      </c>
      <c r="AO496" s="21" t="b">
        <f t="shared" si="51"/>
        <v>1</v>
      </c>
    </row>
    <row r="497" spans="1:41" s="10" customFormat="1" ht="12" customHeight="1" x14ac:dyDescent="0.2">
      <c r="A497" s="1" t="s">
        <v>190</v>
      </c>
      <c r="B497" s="1"/>
      <c r="C497" s="1" t="s">
        <v>793</v>
      </c>
      <c r="D497" s="23"/>
      <c r="E497" s="76">
        <v>1875</v>
      </c>
      <c r="F497" s="76"/>
      <c r="G497" s="76">
        <v>415.22</v>
      </c>
      <c r="H497" s="76"/>
      <c r="I497" s="76">
        <v>0</v>
      </c>
      <c r="J497" s="76"/>
      <c r="K497" s="76">
        <v>0</v>
      </c>
      <c r="L497" s="76"/>
      <c r="M497" s="76">
        <v>0</v>
      </c>
      <c r="N497" s="76"/>
      <c r="O497" s="76">
        <v>0</v>
      </c>
      <c r="P497" s="76"/>
      <c r="Q497" s="76">
        <v>28444.67</v>
      </c>
      <c r="R497" s="76"/>
      <c r="S497" s="76">
        <v>0</v>
      </c>
      <c r="T497" s="76"/>
      <c r="U497" s="76">
        <v>0</v>
      </c>
      <c r="V497" s="76"/>
      <c r="W497" s="76">
        <v>0</v>
      </c>
      <c r="X497" s="76"/>
      <c r="Y497" s="76">
        <v>0</v>
      </c>
      <c r="Z497" s="76"/>
      <c r="AA497" s="76">
        <v>3348.78</v>
      </c>
      <c r="AB497" s="76"/>
      <c r="AC497" s="76">
        <v>2.42</v>
      </c>
      <c r="AD497" s="76"/>
      <c r="AE497" s="76">
        <f t="shared" si="49"/>
        <v>34086.089999999997</v>
      </c>
      <c r="AF497" s="76"/>
      <c r="AG497" s="76">
        <v>-7953.46</v>
      </c>
      <c r="AH497" s="76"/>
      <c r="AI497" s="76">
        <v>26393.64</v>
      </c>
      <c r="AJ497" s="76"/>
      <c r="AK497" s="76">
        <v>18440.18</v>
      </c>
      <c r="AL497" s="24">
        <f>+'Gen Rev'!AI497-'Gen Exp'!AE497+'Gen Exp'!AI497-AK497</f>
        <v>0</v>
      </c>
      <c r="AM497" s="41" t="str">
        <f>'Gen Rev'!A497</f>
        <v>Orient</v>
      </c>
      <c r="AN497" s="21" t="str">
        <f t="shared" si="50"/>
        <v>Orient</v>
      </c>
      <c r="AO497" s="21" t="b">
        <f t="shared" si="51"/>
        <v>1</v>
      </c>
    </row>
    <row r="498" spans="1:41" s="15" customFormat="1" ht="12" customHeight="1" x14ac:dyDescent="0.2">
      <c r="A498" s="1" t="s">
        <v>675</v>
      </c>
      <c r="B498" s="1"/>
      <c r="C498" s="1" t="s">
        <v>671</v>
      </c>
      <c r="D498" s="23"/>
      <c r="E498" s="76">
        <v>560130</v>
      </c>
      <c r="F498" s="76"/>
      <c r="G498" s="76">
        <v>27282</v>
      </c>
      <c r="H498" s="76"/>
      <c r="I498" s="76">
        <v>6343</v>
      </c>
      <c r="J498" s="76"/>
      <c r="K498" s="76">
        <v>6591</v>
      </c>
      <c r="L498" s="76"/>
      <c r="M498" s="76">
        <v>15759</v>
      </c>
      <c r="N498" s="76"/>
      <c r="O498" s="76">
        <v>2221</v>
      </c>
      <c r="P498" s="76"/>
      <c r="Q498" s="76">
        <v>932627</v>
      </c>
      <c r="R498" s="76"/>
      <c r="S498" s="76">
        <v>0</v>
      </c>
      <c r="T498" s="76"/>
      <c r="U498" s="76">
        <v>0</v>
      </c>
      <c r="V498" s="76"/>
      <c r="W498" s="76">
        <v>0</v>
      </c>
      <c r="X498" s="76"/>
      <c r="Y498" s="76">
        <v>0</v>
      </c>
      <c r="Z498" s="76"/>
      <c r="AA498" s="76">
        <v>0</v>
      </c>
      <c r="AB498" s="76"/>
      <c r="AC498" s="76">
        <v>64620</v>
      </c>
      <c r="AD498" s="76"/>
      <c r="AE498" s="76">
        <f t="shared" si="49"/>
        <v>1615573</v>
      </c>
      <c r="AF498" s="76"/>
      <c r="AG498" s="76">
        <v>-22272</v>
      </c>
      <c r="AH498" s="76"/>
      <c r="AI498" s="76">
        <v>1002757</v>
      </c>
      <c r="AJ498" s="76"/>
      <c r="AK498" s="76">
        <v>980484</v>
      </c>
      <c r="AL498" s="24">
        <f>+'Gen Rev'!AI498-'Gen Exp'!AE498+'Gen Exp'!AI498-AK498</f>
        <v>0</v>
      </c>
      <c r="AM498" s="41" t="str">
        <f>'Gen Rev'!A498</f>
        <v>Orwell</v>
      </c>
      <c r="AN498" s="21" t="str">
        <f t="shared" si="50"/>
        <v>Orwell</v>
      </c>
      <c r="AO498" s="21" t="b">
        <f t="shared" si="51"/>
        <v>1</v>
      </c>
    </row>
    <row r="499" spans="1:41" s="15" customFormat="1" ht="12" customHeight="1" x14ac:dyDescent="0.2">
      <c r="A499" s="1" t="s">
        <v>335</v>
      </c>
      <c r="B499" s="1"/>
      <c r="C499" s="1" t="s">
        <v>329</v>
      </c>
      <c r="D499" s="1"/>
      <c r="E499" s="76">
        <v>8265</v>
      </c>
      <c r="F499" s="76"/>
      <c r="G499" s="76">
        <v>1897</v>
      </c>
      <c r="H499" s="76"/>
      <c r="I499" s="76">
        <v>1073</v>
      </c>
      <c r="J499" s="76"/>
      <c r="K499" s="76">
        <v>0</v>
      </c>
      <c r="L499" s="76"/>
      <c r="M499" s="76">
        <v>0</v>
      </c>
      <c r="N499" s="76"/>
      <c r="O499" s="76">
        <v>6195</v>
      </c>
      <c r="P499" s="76"/>
      <c r="Q499" s="76">
        <v>41347</v>
      </c>
      <c r="R499" s="76"/>
      <c r="S499" s="76">
        <v>0</v>
      </c>
      <c r="T499" s="76"/>
      <c r="U499" s="76">
        <v>0</v>
      </c>
      <c r="V499" s="76"/>
      <c r="W499" s="76">
        <v>0</v>
      </c>
      <c r="X499" s="76"/>
      <c r="Y499" s="76">
        <v>135781</v>
      </c>
      <c r="Z499" s="76"/>
      <c r="AA499" s="76">
        <v>0</v>
      </c>
      <c r="AB499" s="76"/>
      <c r="AC499" s="76">
        <v>0</v>
      </c>
      <c r="AD499" s="76"/>
      <c r="AE499" s="76">
        <f t="shared" si="49"/>
        <v>194558</v>
      </c>
      <c r="AF499" s="76"/>
      <c r="AG499" s="76">
        <v>-37863</v>
      </c>
      <c r="AH499" s="76"/>
      <c r="AI499" s="76">
        <v>404927</v>
      </c>
      <c r="AJ499" s="76"/>
      <c r="AK499" s="76">
        <v>367064</v>
      </c>
      <c r="AL499" s="24">
        <f>+'Gen Rev'!AI499-'Gen Exp'!AE499+'Gen Exp'!AI499-AK499</f>
        <v>0</v>
      </c>
      <c r="AM499" s="41" t="str">
        <f>'Gen Rev'!A499</f>
        <v>Osgood</v>
      </c>
      <c r="AN499" s="21" t="str">
        <f t="shared" si="50"/>
        <v>Osgood</v>
      </c>
      <c r="AO499" s="21" t="b">
        <f t="shared" ref="AO499:AO530" si="52">AM499=AN499</f>
        <v>1</v>
      </c>
    </row>
    <row r="500" spans="1:41" ht="12" customHeight="1" x14ac:dyDescent="0.2">
      <c r="A500" s="1" t="s">
        <v>344</v>
      </c>
      <c r="C500" s="1" t="s">
        <v>343</v>
      </c>
      <c r="E500" s="76">
        <v>13031</v>
      </c>
      <c r="F500" s="76"/>
      <c r="G500" s="76">
        <v>660</v>
      </c>
      <c r="H500" s="76"/>
      <c r="I500" s="76">
        <v>0</v>
      </c>
      <c r="J500" s="76"/>
      <c r="K500" s="76">
        <v>4107</v>
      </c>
      <c r="L500" s="76"/>
      <c r="M500" s="76">
        <v>0</v>
      </c>
      <c r="N500" s="76"/>
      <c r="O500" s="76">
        <v>0</v>
      </c>
      <c r="P500" s="76"/>
      <c r="Q500" s="76">
        <v>24414</v>
      </c>
      <c r="R500" s="76"/>
      <c r="S500" s="76">
        <v>0</v>
      </c>
      <c r="T500" s="76"/>
      <c r="U500" s="76">
        <v>0</v>
      </c>
      <c r="V500" s="76"/>
      <c r="W500" s="76">
        <v>0</v>
      </c>
      <c r="X500" s="76"/>
      <c r="Y500" s="76">
        <v>0</v>
      </c>
      <c r="Z500" s="76"/>
      <c r="AA500" s="76">
        <v>0</v>
      </c>
      <c r="AB500" s="76"/>
      <c r="AC500" s="76">
        <v>0</v>
      </c>
      <c r="AD500" s="76"/>
      <c r="AE500" s="76">
        <f t="shared" si="49"/>
        <v>42212</v>
      </c>
      <c r="AF500" s="76"/>
      <c r="AG500" s="76">
        <v>32303</v>
      </c>
      <c r="AH500" s="76"/>
      <c r="AI500" s="76">
        <v>35725</v>
      </c>
      <c r="AJ500" s="76"/>
      <c r="AK500" s="76">
        <v>68028</v>
      </c>
      <c r="AL500" s="24">
        <f>+'Gen Rev'!AI500-'Gen Exp'!AE500+'Gen Exp'!AI500-AK500</f>
        <v>0</v>
      </c>
      <c r="AM500" s="41" t="str">
        <f>'Gen Rev'!A500</f>
        <v>Ostrander</v>
      </c>
      <c r="AN500" s="21" t="str">
        <f t="shared" si="50"/>
        <v>Ostrander</v>
      </c>
      <c r="AO500" s="21" t="b">
        <f t="shared" si="52"/>
        <v>1</v>
      </c>
    </row>
    <row r="501" spans="1:41" s="21" customFormat="1" ht="12" customHeight="1" x14ac:dyDescent="0.2">
      <c r="A501" s="1"/>
      <c r="B501" s="1"/>
      <c r="C501" s="1"/>
      <c r="D501" s="23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24"/>
      <c r="AM501" s="41"/>
    </row>
    <row r="502" spans="1:41" s="21" customFormat="1" ht="12" customHeight="1" x14ac:dyDescent="0.2">
      <c r="A502" s="1"/>
      <c r="B502" s="1"/>
      <c r="C502" s="1"/>
      <c r="D502" s="23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 t="s">
        <v>850</v>
      </c>
      <c r="AF502" s="76"/>
      <c r="AG502" s="76"/>
      <c r="AH502" s="76"/>
      <c r="AI502" s="76"/>
      <c r="AJ502" s="76"/>
      <c r="AK502" s="76"/>
      <c r="AL502" s="24"/>
      <c r="AM502" s="41"/>
    </row>
    <row r="503" spans="1:41" s="21" customFormat="1" ht="12" customHeight="1" x14ac:dyDescent="0.2">
      <c r="A503" s="1"/>
      <c r="B503" s="1"/>
      <c r="C503" s="1"/>
      <c r="D503" s="23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24"/>
      <c r="AM503" s="41"/>
    </row>
    <row r="504" spans="1:41" ht="12" customHeight="1" x14ac:dyDescent="0.2">
      <c r="A504" s="1" t="s">
        <v>207</v>
      </c>
      <c r="C504" s="1" t="s">
        <v>797</v>
      </c>
      <c r="D504" s="23"/>
      <c r="E504" s="88">
        <v>140635.51</v>
      </c>
      <c r="F504" s="88"/>
      <c r="G504" s="88">
        <v>0</v>
      </c>
      <c r="H504" s="88"/>
      <c r="I504" s="88">
        <v>82871.27</v>
      </c>
      <c r="J504" s="88"/>
      <c r="K504" s="88">
        <v>74091.72</v>
      </c>
      <c r="L504" s="88"/>
      <c r="M504" s="88">
        <v>13721.5</v>
      </c>
      <c r="N504" s="88"/>
      <c r="O504" s="88">
        <v>0</v>
      </c>
      <c r="P504" s="88"/>
      <c r="Q504" s="88">
        <v>193167.12</v>
      </c>
      <c r="R504" s="88"/>
      <c r="S504" s="88">
        <v>5531</v>
      </c>
      <c r="T504" s="88"/>
      <c r="U504" s="88">
        <v>0</v>
      </c>
      <c r="V504" s="88"/>
      <c r="W504" s="88">
        <v>0</v>
      </c>
      <c r="X504" s="88"/>
      <c r="Y504" s="88">
        <v>0</v>
      </c>
      <c r="Z504" s="88"/>
      <c r="AA504" s="88">
        <v>0</v>
      </c>
      <c r="AB504" s="88"/>
      <c r="AC504" s="88">
        <v>0</v>
      </c>
      <c r="AD504" s="88"/>
      <c r="AE504" s="88">
        <f t="shared" ref="AE504:AE535" si="53">SUM(E504:AC504)</f>
        <v>510018.12</v>
      </c>
      <c r="AF504" s="76"/>
      <c r="AG504" s="76">
        <v>65183.99</v>
      </c>
      <c r="AH504" s="76"/>
      <c r="AI504" s="76">
        <v>1756301.65</v>
      </c>
      <c r="AJ504" s="76"/>
      <c r="AK504" s="76">
        <v>1821485.64</v>
      </c>
      <c r="AL504" s="24">
        <f>+'Gen Rev'!AI501-'Gen Exp'!AE504+'Gen Exp'!AI504-AK504</f>
        <v>0</v>
      </c>
      <c r="AM504" s="41" t="str">
        <f>'Gen Rev'!A501</f>
        <v>Ottawa</v>
      </c>
      <c r="AN504" s="21" t="str">
        <f t="shared" ref="AN504:AN535" si="54">A504</f>
        <v>Ottawa</v>
      </c>
      <c r="AO504" s="21" t="b">
        <f t="shared" ref="AO504:AO535" si="55">AM504=AN504</f>
        <v>1</v>
      </c>
    </row>
    <row r="505" spans="1:41" ht="12" customHeight="1" x14ac:dyDescent="0.2">
      <c r="A505" s="1" t="s">
        <v>456</v>
      </c>
      <c r="C505" s="1" t="s">
        <v>455</v>
      </c>
      <c r="E505" s="76">
        <v>1961979</v>
      </c>
      <c r="F505" s="76"/>
      <c r="G505" s="76">
        <v>36929</v>
      </c>
      <c r="H505" s="76"/>
      <c r="I505" s="76">
        <v>401404</v>
      </c>
      <c r="J505" s="76"/>
      <c r="K505" s="76">
        <v>0</v>
      </c>
      <c r="L505" s="76"/>
      <c r="M505" s="76">
        <v>484591</v>
      </c>
      <c r="N505" s="76"/>
      <c r="O505" s="76">
        <v>315818</v>
      </c>
      <c r="P505" s="76"/>
      <c r="Q505" s="76">
        <v>804792</v>
      </c>
      <c r="R505" s="76"/>
      <c r="S505" s="76">
        <v>0</v>
      </c>
      <c r="T505" s="76"/>
      <c r="U505" s="76">
        <v>0</v>
      </c>
      <c r="V505" s="76"/>
      <c r="W505" s="76">
        <v>0</v>
      </c>
      <c r="X505" s="76"/>
      <c r="Y505" s="76">
        <v>3814356</v>
      </c>
      <c r="Z505" s="76"/>
      <c r="AA505" s="76">
        <v>0</v>
      </c>
      <c r="AB505" s="76"/>
      <c r="AC505" s="76">
        <v>0</v>
      </c>
      <c r="AD505" s="76"/>
      <c r="AE505" s="76">
        <f t="shared" si="53"/>
        <v>7819869</v>
      </c>
      <c r="AF505" s="76"/>
      <c r="AG505" s="76">
        <v>-2141587</v>
      </c>
      <c r="AH505" s="76"/>
      <c r="AI505" s="76">
        <v>6825802</v>
      </c>
      <c r="AJ505" s="76"/>
      <c r="AK505" s="76">
        <v>4684215</v>
      </c>
      <c r="AL505" s="24">
        <f>+'Gen Rev'!AI502-'Gen Exp'!AE505+'Gen Exp'!AI505-AK505</f>
        <v>0</v>
      </c>
      <c r="AM505" s="41" t="str">
        <f>'Gen Rev'!A502</f>
        <v>Ottawa Hills</v>
      </c>
      <c r="AN505" s="21" t="str">
        <f t="shared" si="54"/>
        <v>Ottawa Hills</v>
      </c>
      <c r="AO505" s="21" t="b">
        <f t="shared" si="55"/>
        <v>1</v>
      </c>
    </row>
    <row r="506" spans="1:41" ht="12" customHeight="1" x14ac:dyDescent="0.2">
      <c r="A506" s="1" t="s">
        <v>516</v>
      </c>
      <c r="C506" s="1" t="s">
        <v>513</v>
      </c>
      <c r="D506" s="23"/>
      <c r="E506" s="76">
        <v>168280.15</v>
      </c>
      <c r="F506" s="76"/>
      <c r="G506" s="76">
        <v>0</v>
      </c>
      <c r="H506" s="76"/>
      <c r="I506" s="76">
        <v>28093.88</v>
      </c>
      <c r="J506" s="76"/>
      <c r="K506" s="76">
        <v>0</v>
      </c>
      <c r="L506" s="76"/>
      <c r="M506" s="76">
        <v>0</v>
      </c>
      <c r="N506" s="76"/>
      <c r="O506" s="76">
        <v>75027.33</v>
      </c>
      <c r="P506" s="76"/>
      <c r="Q506" s="76">
        <v>104968.43</v>
      </c>
      <c r="R506" s="76"/>
      <c r="S506" s="76">
        <v>72594.19</v>
      </c>
      <c r="T506" s="76"/>
      <c r="U506" s="76">
        <v>4452.8</v>
      </c>
      <c r="V506" s="76"/>
      <c r="W506" s="76">
        <v>829.88</v>
      </c>
      <c r="X506" s="76"/>
      <c r="Y506" s="76">
        <v>131400</v>
      </c>
      <c r="Z506" s="76"/>
      <c r="AA506" s="76">
        <v>0</v>
      </c>
      <c r="AB506" s="76"/>
      <c r="AC506" s="76">
        <v>0</v>
      </c>
      <c r="AD506" s="76"/>
      <c r="AE506" s="76">
        <f t="shared" si="53"/>
        <v>585646.65999999992</v>
      </c>
      <c r="AF506" s="76"/>
      <c r="AG506" s="76">
        <v>253298.77</v>
      </c>
      <c r="AH506" s="76"/>
      <c r="AI506" s="76">
        <v>248559.35</v>
      </c>
      <c r="AJ506" s="76"/>
      <c r="AK506" s="76">
        <v>501858.12</v>
      </c>
      <c r="AL506" s="24">
        <f>+'Gen Rev'!AI503-'Gen Exp'!AE506+'Gen Exp'!AI506-AK506</f>
        <v>0</v>
      </c>
      <c r="AM506" s="41" t="str">
        <f>'Gen Rev'!A503</f>
        <v>Ottoville</v>
      </c>
      <c r="AN506" s="21" t="str">
        <f t="shared" si="54"/>
        <v>Ottoville</v>
      </c>
      <c r="AO506" s="21" t="b">
        <f t="shared" si="55"/>
        <v>1</v>
      </c>
    </row>
    <row r="507" spans="1:41" s="21" customFormat="1" ht="12" customHeight="1" x14ac:dyDescent="0.2">
      <c r="A507" s="1" t="s">
        <v>216</v>
      </c>
      <c r="B507" s="1"/>
      <c r="C507" s="1" t="s">
        <v>801</v>
      </c>
      <c r="D507" s="23"/>
      <c r="E507" s="76">
        <v>0</v>
      </c>
      <c r="F507" s="76"/>
      <c r="G507" s="76">
        <v>0</v>
      </c>
      <c r="H507" s="76"/>
      <c r="I507" s="76">
        <v>0</v>
      </c>
      <c r="J507" s="76"/>
      <c r="K507" s="76">
        <v>0</v>
      </c>
      <c r="L507" s="76"/>
      <c r="M507" s="76">
        <v>1529.92</v>
      </c>
      <c r="N507" s="76"/>
      <c r="O507" s="76">
        <v>0</v>
      </c>
      <c r="P507" s="76"/>
      <c r="Q507" s="76">
        <v>7103.19</v>
      </c>
      <c r="R507" s="76"/>
      <c r="S507" s="76">
        <v>0</v>
      </c>
      <c r="T507" s="76"/>
      <c r="U507" s="76">
        <v>0</v>
      </c>
      <c r="V507" s="76"/>
      <c r="W507" s="76">
        <v>0</v>
      </c>
      <c r="X507" s="76"/>
      <c r="Y507" s="76">
        <v>0</v>
      </c>
      <c r="Z507" s="76"/>
      <c r="AA507" s="76">
        <v>0</v>
      </c>
      <c r="AB507" s="76"/>
      <c r="AC507" s="76">
        <v>0</v>
      </c>
      <c r="AD507" s="76"/>
      <c r="AE507" s="76">
        <f t="shared" si="53"/>
        <v>8633.11</v>
      </c>
      <c r="AF507" s="76"/>
      <c r="AG507" s="76">
        <v>2962.08</v>
      </c>
      <c r="AH507" s="76"/>
      <c r="AI507" s="76">
        <v>33.07</v>
      </c>
      <c r="AJ507" s="76"/>
      <c r="AK507" s="76">
        <v>2995.15</v>
      </c>
      <c r="AL507" s="24">
        <f>+'Gen Rev'!AI504-'Gen Exp'!AE507+'Gen Exp'!AI507-AK507</f>
        <v>0</v>
      </c>
      <c r="AM507" s="41" t="str">
        <f>'Gen Rev'!A504</f>
        <v>Otway</v>
      </c>
      <c r="AN507" s="21" t="str">
        <f t="shared" si="54"/>
        <v>Otway</v>
      </c>
      <c r="AO507" s="21" t="b">
        <f t="shared" si="55"/>
        <v>1</v>
      </c>
    </row>
    <row r="508" spans="1:41" ht="12" customHeight="1" x14ac:dyDescent="0.2">
      <c r="A508" s="1" t="s">
        <v>39</v>
      </c>
      <c r="C508" s="1" t="s">
        <v>747</v>
      </c>
      <c r="D508" s="49"/>
      <c r="E508" s="76">
        <v>255226.01</v>
      </c>
      <c r="F508" s="76"/>
      <c r="G508" s="76">
        <v>2384.75</v>
      </c>
      <c r="H508" s="76"/>
      <c r="I508" s="76">
        <v>17245.21</v>
      </c>
      <c r="J508" s="76"/>
      <c r="K508" s="76">
        <v>0</v>
      </c>
      <c r="L508" s="76"/>
      <c r="M508" s="76">
        <v>0</v>
      </c>
      <c r="N508" s="76"/>
      <c r="O508" s="76">
        <v>0</v>
      </c>
      <c r="P508" s="76"/>
      <c r="Q508" s="76">
        <v>171086.78</v>
      </c>
      <c r="R508" s="76"/>
      <c r="S508" s="76">
        <v>0</v>
      </c>
      <c r="T508" s="76"/>
      <c r="U508" s="76">
        <v>0</v>
      </c>
      <c r="V508" s="76"/>
      <c r="W508" s="76">
        <v>0</v>
      </c>
      <c r="X508" s="76"/>
      <c r="Y508" s="76">
        <v>0</v>
      </c>
      <c r="Z508" s="76"/>
      <c r="AA508" s="76">
        <v>0</v>
      </c>
      <c r="AB508" s="76"/>
      <c r="AC508" s="76">
        <v>0</v>
      </c>
      <c r="AD508" s="76"/>
      <c r="AE508" s="76">
        <f t="shared" si="53"/>
        <v>445942.75</v>
      </c>
      <c r="AF508" s="76"/>
      <c r="AG508" s="76">
        <v>-76078.31</v>
      </c>
      <c r="AH508" s="76"/>
      <c r="AI508" s="76">
        <v>474748.04</v>
      </c>
      <c r="AJ508" s="76"/>
      <c r="AK508" s="76">
        <v>398669.73</v>
      </c>
      <c r="AL508" s="24">
        <f>+'Gen Rev'!AI505-'Gen Exp'!AE508+'Gen Exp'!AI508-AK508</f>
        <v>0</v>
      </c>
      <c r="AM508" s="41" t="str">
        <f>'Gen Rev'!A505</f>
        <v>Owensville</v>
      </c>
      <c r="AN508" s="21" t="str">
        <f t="shared" si="54"/>
        <v>Owensville</v>
      </c>
      <c r="AO508" s="21" t="b">
        <f t="shared" si="55"/>
        <v>1</v>
      </c>
    </row>
    <row r="509" spans="1:41" ht="12" hidden="1" customHeight="1" x14ac:dyDescent="0.2">
      <c r="A509" s="1" t="s">
        <v>892</v>
      </c>
      <c r="C509" s="1" t="s">
        <v>329</v>
      </c>
      <c r="D509" s="21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>
        <f t="shared" si="53"/>
        <v>0</v>
      </c>
      <c r="AF509" s="76"/>
      <c r="AG509" s="76"/>
      <c r="AH509" s="76"/>
      <c r="AI509" s="76"/>
      <c r="AJ509" s="76"/>
      <c r="AK509" s="76"/>
      <c r="AL509" s="24">
        <f>+'Gen Rev'!AI506-'Gen Exp'!AE509+'Gen Exp'!AI509-AK509</f>
        <v>0</v>
      </c>
      <c r="AM509" s="41" t="str">
        <f>'Gen Rev'!A506</f>
        <v>Palestine</v>
      </c>
      <c r="AN509" s="21" t="str">
        <f t="shared" si="54"/>
        <v>Palestine</v>
      </c>
      <c r="AO509" s="21" t="b">
        <f t="shared" si="55"/>
        <v>1</v>
      </c>
    </row>
    <row r="510" spans="1:41" ht="12" customHeight="1" x14ac:dyDescent="0.2">
      <c r="A510" s="1" t="s">
        <v>517</v>
      </c>
      <c r="C510" s="1" t="s">
        <v>513</v>
      </c>
      <c r="E510" s="76">
        <v>166866</v>
      </c>
      <c r="F510" s="76"/>
      <c r="G510" s="76">
        <v>6336</v>
      </c>
      <c r="H510" s="76"/>
      <c r="I510" s="76">
        <v>0</v>
      </c>
      <c r="J510" s="76"/>
      <c r="K510" s="76">
        <v>0</v>
      </c>
      <c r="L510" s="76"/>
      <c r="M510" s="76">
        <v>16022</v>
      </c>
      <c r="N510" s="76"/>
      <c r="O510" s="76">
        <v>22233</v>
      </c>
      <c r="P510" s="76"/>
      <c r="Q510" s="76">
        <v>240686</v>
      </c>
      <c r="R510" s="76"/>
      <c r="S510" s="76">
        <v>0</v>
      </c>
      <c r="T510" s="76"/>
      <c r="U510" s="76">
        <v>16132</v>
      </c>
      <c r="V510" s="76"/>
      <c r="W510" s="76">
        <v>1770</v>
      </c>
      <c r="X510" s="76"/>
      <c r="Y510" s="76">
        <v>10000</v>
      </c>
      <c r="Z510" s="76"/>
      <c r="AA510" s="76">
        <v>0</v>
      </c>
      <c r="AB510" s="76"/>
      <c r="AC510" s="76">
        <v>0</v>
      </c>
      <c r="AD510" s="76"/>
      <c r="AE510" s="76">
        <f t="shared" si="53"/>
        <v>480045</v>
      </c>
      <c r="AF510" s="76"/>
      <c r="AG510" s="76">
        <v>6270</v>
      </c>
      <c r="AH510" s="76"/>
      <c r="AI510" s="76">
        <v>33139</v>
      </c>
      <c r="AJ510" s="76"/>
      <c r="AK510" s="76">
        <v>39409</v>
      </c>
      <c r="AL510" s="24">
        <f>+'Gen Rev'!AI507-'Gen Exp'!AE510+'Gen Exp'!AI510-AK510</f>
        <v>0</v>
      </c>
      <c r="AM510" s="41" t="str">
        <f>'Gen Rev'!A507</f>
        <v>Pandora</v>
      </c>
      <c r="AN510" s="21" t="str">
        <f t="shared" si="54"/>
        <v>Pandora</v>
      </c>
      <c r="AO510" s="21" t="b">
        <f t="shared" si="55"/>
        <v>1</v>
      </c>
    </row>
    <row r="511" spans="1:41" ht="12" hidden="1" customHeight="1" x14ac:dyDescent="0.2">
      <c r="A511" s="1" t="s">
        <v>565</v>
      </c>
      <c r="C511" s="1" t="s">
        <v>560</v>
      </c>
      <c r="D511" s="21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>
        <f t="shared" si="53"/>
        <v>0</v>
      </c>
      <c r="AF511" s="76"/>
      <c r="AG511" s="76"/>
      <c r="AH511" s="76"/>
      <c r="AI511" s="76"/>
      <c r="AJ511" s="76"/>
      <c r="AK511" s="76"/>
      <c r="AL511" s="24">
        <f>+'Gen Rev'!AI508-'Gen Exp'!AE511+'Gen Exp'!AI511-AK511</f>
        <v>0</v>
      </c>
      <c r="AM511" s="41" t="str">
        <f>'Gen Rev'!A508</f>
        <v>Parral</v>
      </c>
      <c r="AN511" s="21" t="str">
        <f t="shared" si="54"/>
        <v>Parral</v>
      </c>
      <c r="AO511" s="21" t="b">
        <f t="shared" si="55"/>
        <v>1</v>
      </c>
    </row>
    <row r="512" spans="1:41" ht="12" customHeight="1" x14ac:dyDescent="0.2">
      <c r="A512" s="10" t="s">
        <v>400</v>
      </c>
      <c r="B512" s="10"/>
      <c r="C512" s="10" t="s">
        <v>396</v>
      </c>
      <c r="D512" s="10"/>
      <c r="E512" s="76">
        <v>1657</v>
      </c>
      <c r="F512" s="76"/>
      <c r="G512" s="76">
        <v>342</v>
      </c>
      <c r="H512" s="76"/>
      <c r="I512" s="76">
        <v>0</v>
      </c>
      <c r="J512" s="76"/>
      <c r="K512" s="76">
        <v>0</v>
      </c>
      <c r="L512" s="76"/>
      <c r="M512" s="76">
        <v>0</v>
      </c>
      <c r="N512" s="76"/>
      <c r="O512" s="76">
        <v>0</v>
      </c>
      <c r="P512" s="76"/>
      <c r="Q512" s="76">
        <v>3105</v>
      </c>
      <c r="R512" s="76"/>
      <c r="S512" s="76">
        <v>0</v>
      </c>
      <c r="T512" s="76"/>
      <c r="U512" s="76">
        <v>0</v>
      </c>
      <c r="V512" s="76"/>
      <c r="W512" s="76">
        <v>0</v>
      </c>
      <c r="X512" s="76"/>
      <c r="Y512" s="76">
        <v>0</v>
      </c>
      <c r="Z512" s="76"/>
      <c r="AA512" s="76">
        <v>0</v>
      </c>
      <c r="AB512" s="76"/>
      <c r="AC512" s="76">
        <v>0</v>
      </c>
      <c r="AD512" s="76"/>
      <c r="AE512" s="76">
        <f t="shared" si="53"/>
        <v>5104</v>
      </c>
      <c r="AF512" s="76"/>
      <c r="AG512" s="76">
        <v>-312</v>
      </c>
      <c r="AH512" s="76"/>
      <c r="AI512" s="76">
        <v>252</v>
      </c>
      <c r="AJ512" s="76"/>
      <c r="AK512" s="76">
        <v>-60</v>
      </c>
      <c r="AL512" s="24">
        <f>+'Gen Rev'!AI509-'Gen Exp'!AE512+'Gen Exp'!AI512-AK512</f>
        <v>0</v>
      </c>
      <c r="AM512" s="41" t="str">
        <f>'Gen Rev'!A509</f>
        <v>Patterson</v>
      </c>
      <c r="AN512" s="21" t="str">
        <f t="shared" si="54"/>
        <v>Patterson</v>
      </c>
      <c r="AO512" s="21" t="b">
        <f t="shared" si="55"/>
        <v>1</v>
      </c>
    </row>
    <row r="513" spans="1:41" ht="12" customHeight="1" x14ac:dyDescent="0.2">
      <c r="A513" s="1" t="s">
        <v>496</v>
      </c>
      <c r="C513" s="1" t="s">
        <v>496</v>
      </c>
      <c r="E513" s="76">
        <v>80113</v>
      </c>
      <c r="F513" s="76"/>
      <c r="G513" s="76">
        <v>18762</v>
      </c>
      <c r="H513" s="76"/>
      <c r="I513" s="76">
        <v>40324</v>
      </c>
      <c r="J513" s="76"/>
      <c r="K513" s="76">
        <v>3704</v>
      </c>
      <c r="L513" s="76"/>
      <c r="M513" s="76">
        <v>15672</v>
      </c>
      <c r="N513" s="76"/>
      <c r="O513" s="76">
        <v>4395</v>
      </c>
      <c r="P513" s="76"/>
      <c r="Q513" s="76">
        <v>278353</v>
      </c>
      <c r="R513" s="76"/>
      <c r="S513" s="76">
        <v>118612</v>
      </c>
      <c r="T513" s="76"/>
      <c r="U513" s="76">
        <v>0</v>
      </c>
      <c r="V513" s="76"/>
      <c r="W513" s="76">
        <v>0</v>
      </c>
      <c r="X513" s="76"/>
      <c r="Y513" s="76">
        <v>417180</v>
      </c>
      <c r="Z513" s="76"/>
      <c r="AA513" s="76">
        <v>0</v>
      </c>
      <c r="AB513" s="76"/>
      <c r="AC513" s="76">
        <v>0</v>
      </c>
      <c r="AD513" s="76"/>
      <c r="AE513" s="76">
        <f t="shared" si="53"/>
        <v>977115</v>
      </c>
      <c r="AF513" s="76"/>
      <c r="AG513" s="76">
        <v>-49185</v>
      </c>
      <c r="AH513" s="76"/>
      <c r="AI513" s="76">
        <v>490513</v>
      </c>
      <c r="AJ513" s="76"/>
      <c r="AK513" s="76">
        <v>441328</v>
      </c>
      <c r="AL513" s="24">
        <f>+'Gen Rev'!AI510-'Gen Exp'!AE513+'Gen Exp'!AI513-AK513</f>
        <v>0</v>
      </c>
      <c r="AM513" s="41" t="str">
        <f>'Gen Rev'!A510</f>
        <v>Paulding</v>
      </c>
      <c r="AN513" s="21" t="str">
        <f t="shared" si="54"/>
        <v>Paulding</v>
      </c>
      <c r="AO513" s="21" t="b">
        <f t="shared" si="55"/>
        <v>1</v>
      </c>
    </row>
    <row r="514" spans="1:41" s="21" customFormat="1" ht="12" customHeight="1" x14ac:dyDescent="0.2">
      <c r="A514" s="1" t="s">
        <v>498</v>
      </c>
      <c r="B514" s="1"/>
      <c r="C514" s="1" t="s">
        <v>496</v>
      </c>
      <c r="D514" s="23"/>
      <c r="E514" s="76">
        <v>0</v>
      </c>
      <c r="F514" s="76"/>
      <c r="G514" s="76">
        <v>2666.61</v>
      </c>
      <c r="H514" s="76"/>
      <c r="I514" s="76">
        <v>6936.02</v>
      </c>
      <c r="J514" s="76"/>
      <c r="K514" s="76">
        <v>0</v>
      </c>
      <c r="L514" s="76"/>
      <c r="M514" s="76">
        <v>0</v>
      </c>
      <c r="N514" s="76"/>
      <c r="O514" s="76">
        <v>0</v>
      </c>
      <c r="P514" s="76"/>
      <c r="Q514" s="76">
        <v>96034.12</v>
      </c>
      <c r="R514" s="76"/>
      <c r="S514" s="76">
        <v>0</v>
      </c>
      <c r="T514" s="76"/>
      <c r="U514" s="76">
        <v>0</v>
      </c>
      <c r="V514" s="76"/>
      <c r="W514" s="76">
        <v>0</v>
      </c>
      <c r="X514" s="76"/>
      <c r="Y514" s="76">
        <v>45000</v>
      </c>
      <c r="Z514" s="76"/>
      <c r="AA514" s="76">
        <v>0</v>
      </c>
      <c r="AB514" s="76"/>
      <c r="AC514" s="76">
        <v>10410</v>
      </c>
      <c r="AD514" s="76"/>
      <c r="AE514" s="76">
        <f t="shared" si="53"/>
        <v>161046.75</v>
      </c>
      <c r="AF514" s="76"/>
      <c r="AG514" s="76">
        <v>21550.98</v>
      </c>
      <c r="AH514" s="76"/>
      <c r="AI514" s="76">
        <v>41815.360000000001</v>
      </c>
      <c r="AJ514" s="76"/>
      <c r="AK514" s="76">
        <v>63366.34</v>
      </c>
      <c r="AL514" s="24">
        <f>+'Gen Rev'!AI511-'Gen Exp'!AE514+'Gen Exp'!AI514-AK514</f>
        <v>0</v>
      </c>
      <c r="AM514" s="41" t="str">
        <f>'Gen Rev'!A511</f>
        <v>Payne</v>
      </c>
      <c r="AN514" s="21" t="str">
        <f t="shared" si="54"/>
        <v>Payne</v>
      </c>
      <c r="AO514" s="21" t="b">
        <f t="shared" si="55"/>
        <v>1</v>
      </c>
    </row>
    <row r="515" spans="1:41" s="21" customFormat="1" ht="12" customHeight="1" x14ac:dyDescent="0.2">
      <c r="A515" s="1" t="s">
        <v>676</v>
      </c>
      <c r="B515" s="1"/>
      <c r="C515" s="1" t="s">
        <v>659</v>
      </c>
      <c r="D515" s="23"/>
      <c r="E515" s="76">
        <v>126596.95</v>
      </c>
      <c r="F515" s="76"/>
      <c r="G515" s="76">
        <v>0</v>
      </c>
      <c r="H515" s="76"/>
      <c r="I515" s="76">
        <v>0</v>
      </c>
      <c r="J515" s="76"/>
      <c r="K515" s="76">
        <v>0</v>
      </c>
      <c r="L515" s="76"/>
      <c r="M515" s="76">
        <v>0</v>
      </c>
      <c r="N515" s="76"/>
      <c r="O515" s="76">
        <v>0</v>
      </c>
      <c r="P515" s="76"/>
      <c r="Q515" s="76">
        <v>145468.97</v>
      </c>
      <c r="R515" s="76"/>
      <c r="S515" s="76">
        <v>0</v>
      </c>
      <c r="T515" s="76"/>
      <c r="U515" s="76">
        <v>0</v>
      </c>
      <c r="V515" s="76"/>
      <c r="W515" s="76">
        <v>0</v>
      </c>
      <c r="X515" s="76"/>
      <c r="Y515" s="76">
        <v>0</v>
      </c>
      <c r="Z515" s="76"/>
      <c r="AA515" s="76">
        <v>0</v>
      </c>
      <c r="AB515" s="76"/>
      <c r="AC515" s="76">
        <v>0</v>
      </c>
      <c r="AD515" s="76"/>
      <c r="AE515" s="76">
        <f t="shared" si="53"/>
        <v>272065.91999999998</v>
      </c>
      <c r="AF515" s="76"/>
      <c r="AG515" s="76">
        <v>19863.47</v>
      </c>
      <c r="AH515" s="76"/>
      <c r="AI515" s="76">
        <v>66373.63</v>
      </c>
      <c r="AJ515" s="76"/>
      <c r="AK515" s="76">
        <v>86237.1</v>
      </c>
      <c r="AL515" s="24">
        <f>+'Gen Rev'!AI512-'Gen Exp'!AE515+'Gen Exp'!AI515-AK515</f>
        <v>0</v>
      </c>
      <c r="AM515" s="41" t="str">
        <f>'Gen Rev'!A512</f>
        <v>Peebles</v>
      </c>
      <c r="AN515" s="21" t="str">
        <f t="shared" si="54"/>
        <v>Peebles</v>
      </c>
      <c r="AO515" s="21" t="b">
        <f t="shared" si="55"/>
        <v>1</v>
      </c>
    </row>
    <row r="516" spans="1:41" s="21" customFormat="1" ht="12" customHeight="1" x14ac:dyDescent="0.2">
      <c r="A516" s="1" t="s">
        <v>606</v>
      </c>
      <c r="B516" s="1"/>
      <c r="C516" s="1" t="s">
        <v>601</v>
      </c>
      <c r="D516" s="23"/>
      <c r="E516" s="76">
        <v>142665.32</v>
      </c>
      <c r="F516" s="76"/>
      <c r="G516" s="76">
        <v>2779.98</v>
      </c>
      <c r="H516" s="76"/>
      <c r="I516" s="76">
        <v>0</v>
      </c>
      <c r="J516" s="76"/>
      <c r="K516" s="76">
        <v>0</v>
      </c>
      <c r="L516" s="76"/>
      <c r="M516" s="76">
        <v>80.8</v>
      </c>
      <c r="N516" s="76"/>
      <c r="O516" s="76">
        <v>0</v>
      </c>
      <c r="P516" s="76"/>
      <c r="Q516" s="76">
        <v>152294.76999999999</v>
      </c>
      <c r="R516" s="76"/>
      <c r="S516" s="76">
        <v>0</v>
      </c>
      <c r="T516" s="76"/>
      <c r="U516" s="76">
        <v>0</v>
      </c>
      <c r="V516" s="76"/>
      <c r="W516" s="76">
        <v>0</v>
      </c>
      <c r="X516" s="76"/>
      <c r="Y516" s="76">
        <v>15000</v>
      </c>
      <c r="Z516" s="76"/>
      <c r="AA516" s="76">
        <v>0</v>
      </c>
      <c r="AB516" s="76"/>
      <c r="AC516" s="76">
        <v>250</v>
      </c>
      <c r="AD516" s="76"/>
      <c r="AE516" s="76">
        <f t="shared" si="53"/>
        <v>313070.87</v>
      </c>
      <c r="AF516" s="76"/>
      <c r="AG516" s="76">
        <v>76325.91</v>
      </c>
      <c r="AH516" s="76"/>
      <c r="AI516" s="76">
        <v>491518.33</v>
      </c>
      <c r="AJ516" s="76"/>
      <c r="AK516" s="76">
        <v>567844.24</v>
      </c>
      <c r="AL516" s="24">
        <f>+'Gen Rev'!AI513-'Gen Exp'!AE516+'Gen Exp'!AI516-AK516</f>
        <v>0</v>
      </c>
      <c r="AM516" s="41" t="str">
        <f>'Gen Rev'!A513</f>
        <v>Pemberville</v>
      </c>
      <c r="AN516" s="21" t="str">
        <f t="shared" si="54"/>
        <v>Pemberville</v>
      </c>
      <c r="AO516" s="21" t="b">
        <f t="shared" si="55"/>
        <v>1</v>
      </c>
    </row>
    <row r="517" spans="1:41" s="21" customFormat="1" ht="12" customHeight="1" x14ac:dyDescent="0.2">
      <c r="A517" s="1" t="s">
        <v>552</v>
      </c>
      <c r="B517" s="1"/>
      <c r="C517" s="1" t="s">
        <v>549</v>
      </c>
      <c r="D517" s="1"/>
      <c r="E517" s="76">
        <v>414039.49</v>
      </c>
      <c r="F517" s="76"/>
      <c r="G517" s="76">
        <v>7100</v>
      </c>
      <c r="H517" s="76"/>
      <c r="I517" s="76">
        <v>0</v>
      </c>
      <c r="J517" s="76"/>
      <c r="K517" s="76">
        <v>3816.95</v>
      </c>
      <c r="L517" s="76"/>
      <c r="M517" s="76">
        <v>0</v>
      </c>
      <c r="N517" s="76"/>
      <c r="O517" s="76">
        <v>98556.160000000003</v>
      </c>
      <c r="P517" s="76"/>
      <c r="Q517" s="76">
        <v>204864.04</v>
      </c>
      <c r="R517" s="76"/>
      <c r="S517" s="76">
        <v>0</v>
      </c>
      <c r="T517" s="76"/>
      <c r="U517" s="76">
        <v>0</v>
      </c>
      <c r="V517" s="76"/>
      <c r="W517" s="76">
        <v>0</v>
      </c>
      <c r="X517" s="76"/>
      <c r="Y517" s="76">
        <v>0</v>
      </c>
      <c r="Z517" s="76"/>
      <c r="AA517" s="76">
        <v>0</v>
      </c>
      <c r="AB517" s="76"/>
      <c r="AC517" s="76">
        <v>0</v>
      </c>
      <c r="AD517" s="76"/>
      <c r="AE517" s="76">
        <f t="shared" si="53"/>
        <v>728376.64</v>
      </c>
      <c r="AF517" s="76"/>
      <c r="AG517" s="76">
        <v>-35822.36</v>
      </c>
      <c r="AH517" s="76"/>
      <c r="AI517" s="76">
        <v>82596.009999999995</v>
      </c>
      <c r="AJ517" s="76"/>
      <c r="AK517" s="76">
        <v>46773.65</v>
      </c>
      <c r="AL517" s="24">
        <f>+'Gen Rev'!AI514-'Gen Exp'!AE517+'Gen Exp'!AI517-AK517</f>
        <v>0</v>
      </c>
      <c r="AM517" s="41" t="str">
        <f>'Gen Rev'!A514</f>
        <v>Peninsula</v>
      </c>
      <c r="AN517" s="21" t="str">
        <f t="shared" si="54"/>
        <v>Peninsula</v>
      </c>
      <c r="AO517" s="21" t="b">
        <f t="shared" si="55"/>
        <v>1</v>
      </c>
    </row>
    <row r="518" spans="1:41" s="21" customFormat="1" ht="12" customHeight="1" x14ac:dyDescent="0.2">
      <c r="A518" s="1" t="s">
        <v>433</v>
      </c>
      <c r="B518" s="1"/>
      <c r="C518" s="1" t="s">
        <v>430</v>
      </c>
      <c r="D518" s="1"/>
      <c r="E518" s="76">
        <v>466779</v>
      </c>
      <c r="F518" s="76"/>
      <c r="G518" s="76">
        <v>11506</v>
      </c>
      <c r="H518" s="76"/>
      <c r="I518" s="76">
        <v>12440</v>
      </c>
      <c r="J518" s="76"/>
      <c r="K518" s="76">
        <v>8399</v>
      </c>
      <c r="L518" s="76"/>
      <c r="M518" s="76">
        <v>0</v>
      </c>
      <c r="N518" s="76"/>
      <c r="O518" s="76">
        <v>112624</v>
      </c>
      <c r="P518" s="76"/>
      <c r="Q518" s="76">
        <v>172948</v>
      </c>
      <c r="R518" s="76"/>
      <c r="S518" s="76">
        <v>0</v>
      </c>
      <c r="T518" s="76"/>
      <c r="U518" s="76">
        <v>0</v>
      </c>
      <c r="V518" s="76"/>
      <c r="W518" s="76">
        <v>0</v>
      </c>
      <c r="X518" s="76"/>
      <c r="Y518" s="76">
        <v>12550</v>
      </c>
      <c r="Z518" s="76"/>
      <c r="AA518" s="76">
        <v>0</v>
      </c>
      <c r="AB518" s="76"/>
      <c r="AC518" s="76">
        <v>0</v>
      </c>
      <c r="AD518" s="76"/>
      <c r="AE518" s="76">
        <f t="shared" si="53"/>
        <v>797246</v>
      </c>
      <c r="AF518" s="76"/>
      <c r="AG518" s="76">
        <v>193944</v>
      </c>
      <c r="AH518" s="76"/>
      <c r="AI518" s="76">
        <v>133515</v>
      </c>
      <c r="AJ518" s="76"/>
      <c r="AK518" s="76">
        <v>327459</v>
      </c>
      <c r="AL518" s="24">
        <f>+'Gen Rev'!AI515-'Gen Exp'!AE518+'Gen Exp'!AI518-AK518</f>
        <v>0</v>
      </c>
      <c r="AM518" s="41" t="str">
        <f>'Gen Rev'!A515</f>
        <v xml:space="preserve">Perry </v>
      </c>
      <c r="AN518" s="21" t="str">
        <f t="shared" si="54"/>
        <v xml:space="preserve">Perry </v>
      </c>
      <c r="AO518" s="21" t="b">
        <f t="shared" si="55"/>
        <v>1</v>
      </c>
    </row>
    <row r="519" spans="1:41" ht="12" customHeight="1" x14ac:dyDescent="0.2">
      <c r="A519" s="1" t="s">
        <v>677</v>
      </c>
      <c r="C519" s="1" t="s">
        <v>666</v>
      </c>
      <c r="E519" s="76">
        <v>74078.720000000001</v>
      </c>
      <c r="F519" s="76"/>
      <c r="G519" s="76">
        <v>327.26</v>
      </c>
      <c r="H519" s="76"/>
      <c r="I519" s="76">
        <v>7513.17</v>
      </c>
      <c r="J519" s="76"/>
      <c r="K519" s="76">
        <v>0</v>
      </c>
      <c r="L519" s="76"/>
      <c r="M519" s="76">
        <v>0</v>
      </c>
      <c r="N519" s="76"/>
      <c r="O519" s="76">
        <v>3374.72</v>
      </c>
      <c r="P519" s="76"/>
      <c r="Q519" s="76">
        <v>141551.12</v>
      </c>
      <c r="R519" s="76"/>
      <c r="S519" s="76">
        <v>0</v>
      </c>
      <c r="T519" s="76"/>
      <c r="U519" s="76">
        <v>0</v>
      </c>
      <c r="V519" s="76"/>
      <c r="W519" s="76">
        <v>0</v>
      </c>
      <c r="X519" s="76"/>
      <c r="Y519" s="76">
        <v>5000</v>
      </c>
      <c r="Z519" s="76"/>
      <c r="AA519" s="76">
        <v>0</v>
      </c>
      <c r="AB519" s="76"/>
      <c r="AC519" s="76">
        <v>0</v>
      </c>
      <c r="AD519" s="76"/>
      <c r="AE519" s="76">
        <f t="shared" si="53"/>
        <v>231844.99</v>
      </c>
      <c r="AF519" s="76"/>
      <c r="AG519" s="76">
        <v>167816.52</v>
      </c>
      <c r="AH519" s="76"/>
      <c r="AI519" s="76">
        <v>76118.19</v>
      </c>
      <c r="AJ519" s="76"/>
      <c r="AK519" s="76">
        <v>243934.71</v>
      </c>
      <c r="AL519" s="24">
        <f>+'Gen Rev'!AI516-'Gen Exp'!AE519+'Gen Exp'!AI519-AK519</f>
        <v>0</v>
      </c>
      <c r="AM519" s="41" t="str">
        <f>'Gen Rev'!A516</f>
        <v>Perrysville</v>
      </c>
      <c r="AN519" s="21" t="str">
        <f t="shared" si="54"/>
        <v>Perrysville</v>
      </c>
      <c r="AO519" s="21" t="b">
        <f t="shared" si="55"/>
        <v>1</v>
      </c>
    </row>
    <row r="520" spans="1:41" s="21" customFormat="1" ht="12" customHeight="1" x14ac:dyDescent="0.2">
      <c r="A520" s="1" t="s">
        <v>482</v>
      </c>
      <c r="B520" s="1"/>
      <c r="C520" s="1" t="s">
        <v>479</v>
      </c>
      <c r="D520" s="1"/>
      <c r="E520" s="76">
        <v>155</v>
      </c>
      <c r="F520" s="76"/>
      <c r="G520" s="76">
        <v>0</v>
      </c>
      <c r="H520" s="76"/>
      <c r="I520" s="76">
        <v>0</v>
      </c>
      <c r="J520" s="76"/>
      <c r="K520" s="76">
        <v>2406</v>
      </c>
      <c r="L520" s="76"/>
      <c r="M520" s="76">
        <v>0</v>
      </c>
      <c r="N520" s="76"/>
      <c r="O520" s="76">
        <v>34502</v>
      </c>
      <c r="P520" s="76"/>
      <c r="Q520" s="76">
        <v>79967</v>
      </c>
      <c r="R520" s="76"/>
      <c r="S520" s="76">
        <v>5580</v>
      </c>
      <c r="T520" s="76"/>
      <c r="U520" s="76">
        <v>0</v>
      </c>
      <c r="V520" s="76"/>
      <c r="W520" s="76">
        <v>4162</v>
      </c>
      <c r="X520" s="76"/>
      <c r="Y520" s="76">
        <v>1000</v>
      </c>
      <c r="Z520" s="76"/>
      <c r="AA520" s="76">
        <v>30000</v>
      </c>
      <c r="AB520" s="76"/>
      <c r="AC520" s="76">
        <v>187119</v>
      </c>
      <c r="AD520" s="76"/>
      <c r="AE520" s="76">
        <f t="shared" si="53"/>
        <v>344891</v>
      </c>
      <c r="AF520" s="76"/>
      <c r="AG520" s="76">
        <v>-4863</v>
      </c>
      <c r="AH520" s="76"/>
      <c r="AI520" s="76">
        <v>140792</v>
      </c>
      <c r="AJ520" s="76"/>
      <c r="AK520" s="76">
        <v>135929</v>
      </c>
      <c r="AL520" s="24">
        <f>+'Gen Rev'!AI517-'Gen Exp'!AE520+'Gen Exp'!AI520-AK520</f>
        <v>0</v>
      </c>
      <c r="AM520" s="41" t="str">
        <f>'Gen Rev'!A517</f>
        <v>Phillipsburg</v>
      </c>
      <c r="AN520" s="21" t="str">
        <f t="shared" si="54"/>
        <v>Phillipsburg</v>
      </c>
      <c r="AO520" s="21" t="b">
        <f t="shared" si="55"/>
        <v>1</v>
      </c>
    </row>
    <row r="521" spans="1:41" ht="12" customHeight="1" x14ac:dyDescent="0.2">
      <c r="A521" s="1" t="s">
        <v>487</v>
      </c>
      <c r="C521" s="1" t="s">
        <v>484</v>
      </c>
      <c r="E521" s="76">
        <v>8896</v>
      </c>
      <c r="F521" s="76"/>
      <c r="G521" s="76">
        <v>0</v>
      </c>
      <c r="H521" s="76"/>
      <c r="I521" s="76">
        <v>0</v>
      </c>
      <c r="J521" s="76"/>
      <c r="K521" s="76">
        <v>0</v>
      </c>
      <c r="L521" s="76"/>
      <c r="M521" s="76">
        <v>0</v>
      </c>
      <c r="N521" s="76"/>
      <c r="O521" s="76">
        <v>55771</v>
      </c>
      <c r="P521" s="76"/>
      <c r="Q521" s="76">
        <v>53466</v>
      </c>
      <c r="R521" s="76"/>
      <c r="S521" s="76">
        <v>0</v>
      </c>
      <c r="T521" s="76"/>
      <c r="U521" s="76">
        <v>0</v>
      </c>
      <c r="V521" s="76"/>
      <c r="W521" s="76">
        <v>0</v>
      </c>
      <c r="X521" s="76"/>
      <c r="Y521" s="76">
        <v>0</v>
      </c>
      <c r="Z521" s="76"/>
      <c r="AA521" s="76">
        <v>0</v>
      </c>
      <c r="AB521" s="76"/>
      <c r="AC521" s="76">
        <v>0</v>
      </c>
      <c r="AD521" s="76"/>
      <c r="AE521" s="76">
        <f t="shared" si="53"/>
        <v>118133</v>
      </c>
      <c r="AF521" s="76"/>
      <c r="AG521" s="76">
        <v>-25</v>
      </c>
      <c r="AH521" s="76"/>
      <c r="AI521" s="76">
        <v>26796</v>
      </c>
      <c r="AJ521" s="76"/>
      <c r="AK521" s="76">
        <v>26771</v>
      </c>
      <c r="AL521" s="24">
        <f>+'Gen Rev'!AI518-'Gen Exp'!AE521+'Gen Exp'!AI521-AK521</f>
        <v>0</v>
      </c>
      <c r="AM521" s="41" t="str">
        <f>'Gen Rev'!A518</f>
        <v>Philo</v>
      </c>
      <c r="AN521" s="21" t="str">
        <f t="shared" si="54"/>
        <v>Philo</v>
      </c>
      <c r="AO521" s="21" t="b">
        <f t="shared" si="55"/>
        <v>1</v>
      </c>
    </row>
    <row r="522" spans="1:41" ht="12" customHeight="1" x14ac:dyDescent="0.2">
      <c r="A522" s="1" t="s">
        <v>505</v>
      </c>
      <c r="C522" s="1" t="s">
        <v>506</v>
      </c>
      <c r="D522" s="23"/>
      <c r="E522" s="76">
        <v>25554.43</v>
      </c>
      <c r="F522" s="76"/>
      <c r="G522" s="76">
        <v>0</v>
      </c>
      <c r="H522" s="76"/>
      <c r="I522" s="76">
        <v>0</v>
      </c>
      <c r="J522" s="76"/>
      <c r="K522" s="76">
        <v>7292.74</v>
      </c>
      <c r="L522" s="76"/>
      <c r="M522" s="76">
        <v>0</v>
      </c>
      <c r="N522" s="76"/>
      <c r="O522" s="76">
        <v>63984.1</v>
      </c>
      <c r="P522" s="76"/>
      <c r="Q522" s="76">
        <v>211678.57</v>
      </c>
      <c r="R522" s="76"/>
      <c r="S522" s="76">
        <v>0</v>
      </c>
      <c r="T522" s="76"/>
      <c r="U522" s="76">
        <v>7800</v>
      </c>
      <c r="V522" s="76"/>
      <c r="W522" s="76">
        <v>9101.32</v>
      </c>
      <c r="X522" s="76"/>
      <c r="Y522" s="76">
        <v>0</v>
      </c>
      <c r="Z522" s="76"/>
      <c r="AA522" s="76">
        <v>0</v>
      </c>
      <c r="AB522" s="76"/>
      <c r="AC522" s="76">
        <v>0</v>
      </c>
      <c r="AD522" s="76"/>
      <c r="AE522" s="76">
        <f t="shared" si="53"/>
        <v>325411.15999999997</v>
      </c>
      <c r="AF522" s="76"/>
      <c r="AG522" s="76">
        <v>26048.02</v>
      </c>
      <c r="AH522" s="76"/>
      <c r="AI522" s="76">
        <v>385478.56</v>
      </c>
      <c r="AJ522" s="76"/>
      <c r="AK522" s="76">
        <v>411526.58</v>
      </c>
      <c r="AL522" s="24">
        <f>+'Gen Rev'!AI519-'Gen Exp'!AE522+'Gen Exp'!AI522-AK522</f>
        <v>0</v>
      </c>
      <c r="AM522" s="41" t="str">
        <f>'Gen Rev'!A519</f>
        <v>Piketon</v>
      </c>
      <c r="AN522" s="21" t="str">
        <f t="shared" si="54"/>
        <v>Piketon</v>
      </c>
      <c r="AO522" s="21" t="b">
        <f t="shared" si="55"/>
        <v>1</v>
      </c>
    </row>
    <row r="523" spans="1:41" ht="12" customHeight="1" x14ac:dyDescent="0.2">
      <c r="A523" s="1" t="s">
        <v>893</v>
      </c>
      <c r="C523" s="1" t="s">
        <v>596</v>
      </c>
      <c r="D523" s="23"/>
      <c r="E523" s="76">
        <v>314545</v>
      </c>
      <c r="F523" s="76"/>
      <c r="G523" s="76">
        <v>0</v>
      </c>
      <c r="H523" s="76"/>
      <c r="I523" s="76">
        <v>38832</v>
      </c>
      <c r="J523" s="76"/>
      <c r="K523" s="76">
        <v>17991</v>
      </c>
      <c r="L523" s="76"/>
      <c r="M523" s="76">
        <v>55736</v>
      </c>
      <c r="N523" s="76"/>
      <c r="O523" s="76">
        <v>12359</v>
      </c>
      <c r="P523" s="76"/>
      <c r="Q523" s="76">
        <v>169495</v>
      </c>
      <c r="R523" s="76"/>
      <c r="S523" s="76">
        <v>77156</v>
      </c>
      <c r="T523" s="76"/>
      <c r="U523" s="76">
        <v>0</v>
      </c>
      <c r="V523" s="76"/>
      <c r="W523" s="76">
        <v>0</v>
      </c>
      <c r="X523" s="76"/>
      <c r="Y523" s="76">
        <v>0</v>
      </c>
      <c r="Z523" s="76"/>
      <c r="AA523" s="76">
        <v>0</v>
      </c>
      <c r="AB523" s="76"/>
      <c r="AC523" s="76">
        <v>0</v>
      </c>
      <c r="AD523" s="76"/>
      <c r="AE523" s="76">
        <f t="shared" si="53"/>
        <v>686114</v>
      </c>
      <c r="AF523" s="76"/>
      <c r="AG523" s="76">
        <v>143607</v>
      </c>
      <c r="AH523" s="76"/>
      <c r="AI523" s="76">
        <v>331687</v>
      </c>
      <c r="AJ523" s="76"/>
      <c r="AK523" s="76">
        <v>475294</v>
      </c>
      <c r="AL523" s="24">
        <f>+'Gen Rev'!AI520-'Gen Exp'!AE523+'Gen Exp'!AI523-AK523</f>
        <v>0</v>
      </c>
      <c r="AM523" s="41" t="str">
        <f>'Gen Rev'!A520</f>
        <v>Pioneer</v>
      </c>
      <c r="AN523" s="21" t="str">
        <f t="shared" si="54"/>
        <v>Pioneer</v>
      </c>
      <c r="AO523" s="21" t="b">
        <f t="shared" si="55"/>
        <v>1</v>
      </c>
    </row>
    <row r="524" spans="1:41" s="21" customFormat="1" ht="12" customHeight="1" x14ac:dyDescent="0.2">
      <c r="A524" s="1" t="s">
        <v>54</v>
      </c>
      <c r="B524" s="1"/>
      <c r="C524" s="1" t="s">
        <v>752</v>
      </c>
      <c r="D524" s="1"/>
      <c r="E524" s="76">
        <v>17106.490000000002</v>
      </c>
      <c r="F524" s="76"/>
      <c r="G524" s="76">
        <v>0</v>
      </c>
      <c r="H524" s="76"/>
      <c r="I524" s="76">
        <v>2180.41</v>
      </c>
      <c r="J524" s="76"/>
      <c r="K524" s="76">
        <v>0</v>
      </c>
      <c r="L524" s="76"/>
      <c r="M524" s="76">
        <v>1782.4</v>
      </c>
      <c r="N524" s="76"/>
      <c r="O524" s="76">
        <v>0</v>
      </c>
      <c r="P524" s="76"/>
      <c r="Q524" s="76">
        <v>41166.949999999997</v>
      </c>
      <c r="R524" s="76"/>
      <c r="S524" s="76">
        <v>0</v>
      </c>
      <c r="T524" s="76"/>
      <c r="U524" s="76">
        <v>0</v>
      </c>
      <c r="V524" s="76"/>
      <c r="W524" s="76">
        <v>0</v>
      </c>
      <c r="X524" s="76"/>
      <c r="Y524" s="76">
        <v>0</v>
      </c>
      <c r="Z524" s="76"/>
      <c r="AA524" s="76">
        <v>0</v>
      </c>
      <c r="AB524" s="76"/>
      <c r="AC524" s="76">
        <v>0</v>
      </c>
      <c r="AD524" s="76"/>
      <c r="AE524" s="76">
        <f t="shared" si="53"/>
        <v>62236.25</v>
      </c>
      <c r="AF524" s="76"/>
      <c r="AG524" s="76">
        <v>-832.29</v>
      </c>
      <c r="AH524" s="76"/>
      <c r="AI524" s="76">
        <v>58279.99</v>
      </c>
      <c r="AJ524" s="76"/>
      <c r="AK524" s="76">
        <v>57447.7</v>
      </c>
      <c r="AL524" s="24">
        <f>+'Gen Rev'!AI521-'Gen Exp'!AE524+'Gen Exp'!AI524-AK524</f>
        <v>0</v>
      </c>
      <c r="AM524" s="41" t="str">
        <f>'Gen Rev'!A521</f>
        <v>Pitsburg</v>
      </c>
      <c r="AN524" s="21" t="str">
        <f t="shared" si="54"/>
        <v>Pitsburg</v>
      </c>
      <c r="AO524" s="21" t="b">
        <f t="shared" si="55"/>
        <v>1</v>
      </c>
    </row>
    <row r="525" spans="1:41" ht="12" customHeight="1" x14ac:dyDescent="0.2">
      <c r="A525" s="1" t="s">
        <v>460</v>
      </c>
      <c r="C525" s="1" t="s">
        <v>432</v>
      </c>
      <c r="D525" s="15"/>
      <c r="E525" s="76">
        <v>477520.17</v>
      </c>
      <c r="F525" s="76"/>
      <c r="G525" s="76">
        <v>0</v>
      </c>
      <c r="H525" s="76"/>
      <c r="I525" s="76">
        <v>383586.77</v>
      </c>
      <c r="J525" s="76"/>
      <c r="K525" s="76">
        <v>0</v>
      </c>
      <c r="L525" s="76"/>
      <c r="M525" s="76">
        <v>262633.81</v>
      </c>
      <c r="N525" s="76"/>
      <c r="O525" s="76">
        <v>0</v>
      </c>
      <c r="P525" s="76"/>
      <c r="Q525" s="76">
        <v>936169.13</v>
      </c>
      <c r="R525" s="76"/>
      <c r="S525" s="76">
        <v>0</v>
      </c>
      <c r="T525" s="76"/>
      <c r="U525" s="76">
        <v>0</v>
      </c>
      <c r="V525" s="76"/>
      <c r="W525" s="76">
        <v>0</v>
      </c>
      <c r="X525" s="76"/>
      <c r="Y525" s="76">
        <v>0</v>
      </c>
      <c r="Z525" s="76"/>
      <c r="AA525" s="76">
        <v>67000</v>
      </c>
      <c r="AB525" s="76"/>
      <c r="AC525" s="76">
        <v>0</v>
      </c>
      <c r="AD525" s="76"/>
      <c r="AE525" s="76">
        <f t="shared" si="53"/>
        <v>2126909.88</v>
      </c>
      <c r="AF525" s="76"/>
      <c r="AG525" s="76">
        <v>-285944.51</v>
      </c>
      <c r="AH525" s="76"/>
      <c r="AI525" s="76">
        <v>1347383.01</v>
      </c>
      <c r="AJ525" s="76"/>
      <c r="AK525" s="76">
        <v>1061438.5</v>
      </c>
      <c r="AL525" s="24">
        <f>+'Gen Rev'!AI522-'Gen Exp'!AE525+'Gen Exp'!AI525-AK525</f>
        <v>0</v>
      </c>
      <c r="AM525" s="41" t="str">
        <f>'Gen Rev'!A522</f>
        <v>Plain City</v>
      </c>
      <c r="AN525" s="21" t="str">
        <f t="shared" si="54"/>
        <v>Plain City</v>
      </c>
      <c r="AO525" s="21" t="b">
        <f t="shared" si="55"/>
        <v>1</v>
      </c>
    </row>
    <row r="526" spans="1:41" ht="12" customHeight="1" x14ac:dyDescent="0.2">
      <c r="A526" s="1" t="s">
        <v>894</v>
      </c>
      <c r="C526" s="1" t="s">
        <v>308</v>
      </c>
      <c r="E526" s="76">
        <v>3142</v>
      </c>
      <c r="F526" s="76"/>
      <c r="G526" s="76">
        <v>0</v>
      </c>
      <c r="H526" s="76"/>
      <c r="I526" s="76">
        <v>8244</v>
      </c>
      <c r="J526" s="76"/>
      <c r="K526" s="76">
        <v>0</v>
      </c>
      <c r="L526" s="76"/>
      <c r="M526" s="76">
        <v>0</v>
      </c>
      <c r="N526" s="76"/>
      <c r="O526" s="76">
        <v>0</v>
      </c>
      <c r="P526" s="76"/>
      <c r="Q526" s="76">
        <v>5814</v>
      </c>
      <c r="R526" s="76"/>
      <c r="S526" s="76">
        <v>0</v>
      </c>
      <c r="T526" s="76"/>
      <c r="U526" s="76">
        <v>0</v>
      </c>
      <c r="V526" s="76"/>
      <c r="W526" s="76">
        <v>0</v>
      </c>
      <c r="X526" s="76"/>
      <c r="Y526" s="76">
        <v>0</v>
      </c>
      <c r="Z526" s="76"/>
      <c r="AA526" s="76">
        <v>0</v>
      </c>
      <c r="AB526" s="76"/>
      <c r="AC526" s="76">
        <v>0</v>
      </c>
      <c r="AD526" s="76"/>
      <c r="AE526" s="76">
        <f t="shared" si="53"/>
        <v>17200</v>
      </c>
      <c r="AF526" s="76"/>
      <c r="AG526" s="76">
        <v>-9055</v>
      </c>
      <c r="AH526" s="76"/>
      <c r="AI526" s="76">
        <v>67004</v>
      </c>
      <c r="AJ526" s="76"/>
      <c r="AK526" s="76">
        <v>57949</v>
      </c>
      <c r="AL526" s="24">
        <f>+'Gen Rev'!AI523-'Gen Exp'!AE526+'Gen Exp'!AI526-AK526</f>
        <v>0</v>
      </c>
      <c r="AM526" s="41" t="str">
        <f>'Gen Rev'!A523</f>
        <v>Plainfield</v>
      </c>
      <c r="AN526" s="21" t="str">
        <f t="shared" si="54"/>
        <v>Plainfield</v>
      </c>
      <c r="AO526" s="21" t="b">
        <f t="shared" si="55"/>
        <v>1</v>
      </c>
    </row>
    <row r="527" spans="1:41" s="21" customFormat="1" ht="12" customHeight="1" x14ac:dyDescent="0.2">
      <c r="A527" s="1" t="s">
        <v>376</v>
      </c>
      <c r="B527" s="1"/>
      <c r="C527" s="1" t="s">
        <v>375</v>
      </c>
      <c r="D527" s="23"/>
      <c r="E527" s="76">
        <v>10138.19</v>
      </c>
      <c r="F527" s="76"/>
      <c r="G527" s="76">
        <v>1000</v>
      </c>
      <c r="H527" s="76"/>
      <c r="I527" s="76">
        <v>0</v>
      </c>
      <c r="J527" s="76"/>
      <c r="K527" s="76">
        <v>0</v>
      </c>
      <c r="L527" s="76"/>
      <c r="M527" s="76">
        <v>1937.51</v>
      </c>
      <c r="N527" s="76"/>
      <c r="O527" s="76">
        <v>1639.64</v>
      </c>
      <c r="P527" s="76"/>
      <c r="Q527" s="76">
        <v>36181.379999999997</v>
      </c>
      <c r="R527" s="76"/>
      <c r="S527" s="76">
        <v>0</v>
      </c>
      <c r="T527" s="76"/>
      <c r="U527" s="76">
        <v>0</v>
      </c>
      <c r="V527" s="76"/>
      <c r="W527" s="76">
        <v>0</v>
      </c>
      <c r="X527" s="76"/>
      <c r="Y527" s="76">
        <v>0</v>
      </c>
      <c r="Z527" s="76"/>
      <c r="AA527" s="76">
        <v>0</v>
      </c>
      <c r="AB527" s="76"/>
      <c r="AC527" s="76">
        <v>0</v>
      </c>
      <c r="AD527" s="76"/>
      <c r="AE527" s="76">
        <f t="shared" si="53"/>
        <v>50896.72</v>
      </c>
      <c r="AF527" s="76"/>
      <c r="AG527" s="76">
        <v>-10030.200000000001</v>
      </c>
      <c r="AH527" s="76"/>
      <c r="AI527" s="76">
        <v>29825.35</v>
      </c>
      <c r="AJ527" s="76"/>
      <c r="AK527" s="76">
        <v>19795.150000000001</v>
      </c>
      <c r="AL527" s="24">
        <f>+'Gen Rev'!AI524-'Gen Exp'!AE527+'Gen Exp'!AI527-AK527</f>
        <v>0</v>
      </c>
      <c r="AM527" s="41" t="str">
        <f>'Gen Rev'!A524</f>
        <v>Pleasant City</v>
      </c>
      <c r="AN527" s="21" t="str">
        <f t="shared" si="54"/>
        <v>Pleasant City</v>
      </c>
      <c r="AO527" s="21" t="b">
        <f t="shared" si="55"/>
        <v>1</v>
      </c>
    </row>
    <row r="528" spans="1:41" ht="12" customHeight="1" x14ac:dyDescent="0.2">
      <c r="A528" s="1" t="s">
        <v>163</v>
      </c>
      <c r="C528" s="1" t="s">
        <v>784</v>
      </c>
      <c r="D528" s="10"/>
      <c r="E528" s="76">
        <v>25000</v>
      </c>
      <c r="F528" s="76"/>
      <c r="G528" s="76">
        <v>0</v>
      </c>
      <c r="H528" s="76"/>
      <c r="I528" s="76">
        <v>3680.67</v>
      </c>
      <c r="J528" s="76"/>
      <c r="K528" s="76">
        <v>0</v>
      </c>
      <c r="L528" s="76"/>
      <c r="M528" s="76">
        <v>0</v>
      </c>
      <c r="N528" s="76"/>
      <c r="O528" s="76">
        <v>24092.36</v>
      </c>
      <c r="P528" s="76"/>
      <c r="Q528" s="76">
        <v>124733.49</v>
      </c>
      <c r="R528" s="76"/>
      <c r="S528" s="76">
        <v>102007.08</v>
      </c>
      <c r="T528" s="76"/>
      <c r="U528" s="76">
        <v>22369.93</v>
      </c>
      <c r="V528" s="76"/>
      <c r="W528" s="76">
        <v>0</v>
      </c>
      <c r="X528" s="76"/>
      <c r="Y528" s="76">
        <v>0</v>
      </c>
      <c r="Z528" s="76"/>
      <c r="AA528" s="76">
        <v>0</v>
      </c>
      <c r="AB528" s="76"/>
      <c r="AC528" s="76">
        <v>0</v>
      </c>
      <c r="AD528" s="76"/>
      <c r="AE528" s="76">
        <f t="shared" si="53"/>
        <v>301883.53000000003</v>
      </c>
      <c r="AF528" s="76"/>
      <c r="AG528" s="76">
        <v>-767.71</v>
      </c>
      <c r="AH528" s="76"/>
      <c r="AI528" s="76">
        <v>383649.79</v>
      </c>
      <c r="AJ528" s="76"/>
      <c r="AK528" s="76">
        <v>382882.08</v>
      </c>
      <c r="AL528" s="24">
        <f>+'Gen Rev'!AI525-'Gen Exp'!AE528+'Gen Exp'!AI528-AK528</f>
        <v>0</v>
      </c>
      <c r="AM528" s="41" t="str">
        <f>'Gen Rev'!A525</f>
        <v>Pleasant Hill</v>
      </c>
      <c r="AN528" s="21" t="str">
        <f t="shared" si="54"/>
        <v>Pleasant Hill</v>
      </c>
      <c r="AO528" s="21" t="b">
        <f t="shared" si="55"/>
        <v>1</v>
      </c>
    </row>
    <row r="529" spans="1:41" ht="12" customHeight="1" x14ac:dyDescent="0.2">
      <c r="A529" s="1" t="s">
        <v>244</v>
      </c>
      <c r="C529" s="1" t="s">
        <v>809</v>
      </c>
      <c r="D529" s="23"/>
      <c r="E529" s="76">
        <v>2080.48</v>
      </c>
      <c r="F529" s="76"/>
      <c r="G529" s="76">
        <v>0</v>
      </c>
      <c r="H529" s="76"/>
      <c r="I529" s="76">
        <v>0</v>
      </c>
      <c r="J529" s="76"/>
      <c r="K529" s="76">
        <v>0</v>
      </c>
      <c r="L529" s="76"/>
      <c r="M529" s="76">
        <v>0</v>
      </c>
      <c r="N529" s="76"/>
      <c r="O529" s="76">
        <v>0</v>
      </c>
      <c r="P529" s="76"/>
      <c r="Q529" s="76">
        <v>9877.0300000000007</v>
      </c>
      <c r="R529" s="76"/>
      <c r="S529" s="76">
        <v>0</v>
      </c>
      <c r="T529" s="76"/>
      <c r="U529" s="76">
        <v>0</v>
      </c>
      <c r="V529" s="76"/>
      <c r="W529" s="76">
        <v>0</v>
      </c>
      <c r="X529" s="76"/>
      <c r="Y529" s="76">
        <v>0</v>
      </c>
      <c r="Z529" s="76"/>
      <c r="AA529" s="76">
        <v>0</v>
      </c>
      <c r="AB529" s="76"/>
      <c r="AC529" s="76">
        <v>0</v>
      </c>
      <c r="AD529" s="76"/>
      <c r="AE529" s="76">
        <f t="shared" si="53"/>
        <v>11957.51</v>
      </c>
      <c r="AF529" s="76"/>
      <c r="AG529" s="76">
        <v>-577.45000000000005</v>
      </c>
      <c r="AH529" s="76"/>
      <c r="AI529" s="76">
        <v>14203.87</v>
      </c>
      <c r="AJ529" s="76"/>
      <c r="AK529" s="76">
        <v>13626.42</v>
      </c>
      <c r="AL529" s="24">
        <f>+'Gen Rev'!AI526-'Gen Exp'!AE529+'Gen Exp'!AI529-AK529</f>
        <v>0</v>
      </c>
      <c r="AM529" s="41" t="str">
        <f>'Gen Rev'!A526</f>
        <v>Pleasant Plain</v>
      </c>
      <c r="AN529" s="21" t="str">
        <f t="shared" si="54"/>
        <v>Pleasant Plain</v>
      </c>
      <c r="AO529" s="21" t="b">
        <f t="shared" si="55"/>
        <v>1</v>
      </c>
    </row>
    <row r="530" spans="1:41" ht="12" customHeight="1" x14ac:dyDescent="0.2">
      <c r="A530" s="1" t="s">
        <v>64</v>
      </c>
      <c r="C530" s="1" t="s">
        <v>756</v>
      </c>
      <c r="D530" s="23"/>
      <c r="E530" s="76">
        <v>24687.57</v>
      </c>
      <c r="F530" s="76"/>
      <c r="G530" s="76">
        <v>4069.63</v>
      </c>
      <c r="H530" s="76"/>
      <c r="I530" s="76">
        <v>0</v>
      </c>
      <c r="J530" s="76"/>
      <c r="K530" s="76">
        <v>3592.78</v>
      </c>
      <c r="L530" s="76"/>
      <c r="M530" s="76">
        <v>0</v>
      </c>
      <c r="N530" s="76"/>
      <c r="O530" s="76">
        <v>0</v>
      </c>
      <c r="P530" s="76"/>
      <c r="Q530" s="76">
        <v>53448.74</v>
      </c>
      <c r="R530" s="76"/>
      <c r="S530" s="76">
        <v>0</v>
      </c>
      <c r="T530" s="76"/>
      <c r="U530" s="76">
        <v>0</v>
      </c>
      <c r="V530" s="76"/>
      <c r="W530" s="76">
        <v>0</v>
      </c>
      <c r="X530" s="76"/>
      <c r="Y530" s="76">
        <v>11181.76</v>
      </c>
      <c r="Z530" s="76"/>
      <c r="AA530" s="76">
        <v>0</v>
      </c>
      <c r="AB530" s="76"/>
      <c r="AC530" s="76">
        <v>0</v>
      </c>
      <c r="AD530" s="76"/>
      <c r="AE530" s="76">
        <f t="shared" si="53"/>
        <v>96980.479999999996</v>
      </c>
      <c r="AF530" s="76"/>
      <c r="AG530" s="76">
        <v>-7391.56</v>
      </c>
      <c r="AH530" s="76"/>
      <c r="AI530" s="76">
        <v>46057.57</v>
      </c>
      <c r="AJ530" s="76"/>
      <c r="AK530" s="76">
        <v>38666.01</v>
      </c>
      <c r="AL530" s="24">
        <f>+'Gen Rev'!AI527-'Gen Exp'!AE530+'Gen Exp'!AI530-AK530</f>
        <v>0</v>
      </c>
      <c r="AM530" s="41" t="str">
        <f>'Gen Rev'!A527</f>
        <v>Pleasantville</v>
      </c>
      <c r="AN530" s="21" t="str">
        <f t="shared" si="54"/>
        <v>Pleasantville</v>
      </c>
      <c r="AO530" s="21" t="b">
        <f t="shared" si="55"/>
        <v>1</v>
      </c>
    </row>
    <row r="531" spans="1:41" s="21" customFormat="1" ht="12" customHeight="1" x14ac:dyDescent="0.2">
      <c r="A531" s="1" t="s">
        <v>209</v>
      </c>
      <c r="B531" s="1"/>
      <c r="C531" s="1" t="s">
        <v>798</v>
      </c>
      <c r="D531" s="1"/>
      <c r="E531" s="76">
        <v>372702.79</v>
      </c>
      <c r="F531" s="76"/>
      <c r="G531" s="76">
        <v>0</v>
      </c>
      <c r="H531" s="76"/>
      <c r="I531" s="76">
        <v>0</v>
      </c>
      <c r="J531" s="76"/>
      <c r="K531" s="76">
        <v>0</v>
      </c>
      <c r="L531" s="76"/>
      <c r="M531" s="76">
        <v>0</v>
      </c>
      <c r="N531" s="76"/>
      <c r="O531" s="76">
        <v>21088</v>
      </c>
      <c r="P531" s="76"/>
      <c r="Q531" s="76">
        <v>203855.11</v>
      </c>
      <c r="R531" s="76"/>
      <c r="S531" s="76">
        <v>0</v>
      </c>
      <c r="T531" s="76"/>
      <c r="U531" s="76">
        <v>0</v>
      </c>
      <c r="V531" s="76"/>
      <c r="W531" s="76">
        <v>0</v>
      </c>
      <c r="X531" s="76"/>
      <c r="Y531" s="76">
        <v>47062.73</v>
      </c>
      <c r="Z531" s="76"/>
      <c r="AA531" s="76">
        <v>0</v>
      </c>
      <c r="AB531" s="76"/>
      <c r="AC531" s="76">
        <v>0</v>
      </c>
      <c r="AD531" s="76"/>
      <c r="AE531" s="76">
        <f t="shared" si="53"/>
        <v>644708.62999999989</v>
      </c>
      <c r="AF531" s="76"/>
      <c r="AG531" s="76">
        <v>66270.3</v>
      </c>
      <c r="AH531" s="76"/>
      <c r="AI531" s="76">
        <v>144540.57999999999</v>
      </c>
      <c r="AJ531" s="76"/>
      <c r="AK531" s="76">
        <v>210810.88</v>
      </c>
      <c r="AL531" s="24">
        <f>+'Gen Rev'!AI528-'Gen Exp'!AE531+'Gen Exp'!AI531-AK531</f>
        <v>0</v>
      </c>
      <c r="AM531" s="41" t="str">
        <f>'Gen Rev'!A528</f>
        <v>Plymouth</v>
      </c>
      <c r="AN531" s="21" t="str">
        <f t="shared" si="54"/>
        <v>Plymouth</v>
      </c>
      <c r="AO531" s="21" t="b">
        <f t="shared" si="55"/>
        <v>1</v>
      </c>
    </row>
    <row r="532" spans="1:41" s="21" customFormat="1" ht="12" customHeight="1" x14ac:dyDescent="0.2">
      <c r="A532" s="1" t="s">
        <v>146</v>
      </c>
      <c r="B532" s="1"/>
      <c r="C532" s="1" t="s">
        <v>779</v>
      </c>
      <c r="D532" s="23"/>
      <c r="E532" s="76">
        <v>399073.38</v>
      </c>
      <c r="F532" s="76"/>
      <c r="G532" s="76">
        <v>16167</v>
      </c>
      <c r="H532" s="76"/>
      <c r="I532" s="76">
        <v>0</v>
      </c>
      <c r="J532" s="76"/>
      <c r="K532" s="76">
        <v>9525.44</v>
      </c>
      <c r="L532" s="76"/>
      <c r="M532" s="76">
        <v>17943</v>
      </c>
      <c r="N532" s="76"/>
      <c r="O532" s="76">
        <v>5568</v>
      </c>
      <c r="P532" s="76"/>
      <c r="Q532" s="76">
        <v>232755.5</v>
      </c>
      <c r="R532" s="76"/>
      <c r="S532" s="76">
        <v>0</v>
      </c>
      <c r="T532" s="76"/>
      <c r="U532" s="76">
        <v>0</v>
      </c>
      <c r="V532" s="76"/>
      <c r="W532" s="76">
        <v>0</v>
      </c>
      <c r="X532" s="76"/>
      <c r="Y532" s="76">
        <v>8002.44</v>
      </c>
      <c r="Z532" s="76"/>
      <c r="AA532" s="76">
        <v>0</v>
      </c>
      <c r="AB532" s="76"/>
      <c r="AC532" s="76">
        <v>0</v>
      </c>
      <c r="AD532" s="76"/>
      <c r="AE532" s="76">
        <f t="shared" si="53"/>
        <v>689034.76</v>
      </c>
      <c r="AF532" s="76"/>
      <c r="AG532" s="76">
        <v>210479.75</v>
      </c>
      <c r="AH532" s="76"/>
      <c r="AI532" s="76">
        <v>1251329.3999999999</v>
      </c>
      <c r="AJ532" s="76"/>
      <c r="AK532" s="76">
        <v>1461809.15</v>
      </c>
      <c r="AL532" s="24">
        <f>+'Gen Rev'!AI529-'Gen Exp'!AE532+'Gen Exp'!AI532-AK532</f>
        <v>0</v>
      </c>
      <c r="AM532" s="41" t="str">
        <f>'Gen Rev'!A529</f>
        <v>Poland</v>
      </c>
      <c r="AN532" s="21" t="str">
        <f t="shared" si="54"/>
        <v>Poland</v>
      </c>
      <c r="AO532" s="21" t="b">
        <f t="shared" si="55"/>
        <v>1</v>
      </c>
    </row>
    <row r="533" spans="1:41" ht="12" customHeight="1" x14ac:dyDescent="0.2">
      <c r="A533" s="1" t="s">
        <v>678</v>
      </c>
      <c r="C533" s="1" t="s">
        <v>666</v>
      </c>
      <c r="D533" s="23"/>
      <c r="E533" s="76">
        <v>4049.62</v>
      </c>
      <c r="F533" s="76"/>
      <c r="G533" s="76">
        <v>128.46</v>
      </c>
      <c r="H533" s="76"/>
      <c r="I533" s="76">
        <v>4244.08</v>
      </c>
      <c r="J533" s="76"/>
      <c r="K533" s="76">
        <v>2420.13</v>
      </c>
      <c r="L533" s="76"/>
      <c r="M533" s="76">
        <v>278.64999999999998</v>
      </c>
      <c r="N533" s="76"/>
      <c r="O533" s="76">
        <v>1707.67</v>
      </c>
      <c r="P533" s="76"/>
      <c r="Q533" s="76">
        <v>37410.29</v>
      </c>
      <c r="R533" s="76"/>
      <c r="S533" s="76">
        <v>0</v>
      </c>
      <c r="T533" s="76"/>
      <c r="U533" s="76">
        <v>0</v>
      </c>
      <c r="V533" s="76"/>
      <c r="W533" s="76">
        <v>0</v>
      </c>
      <c r="X533" s="76"/>
      <c r="Y533" s="76">
        <v>0</v>
      </c>
      <c r="Z533" s="76"/>
      <c r="AA533" s="76">
        <v>0</v>
      </c>
      <c r="AB533" s="76"/>
      <c r="AC533" s="76">
        <v>0</v>
      </c>
      <c r="AD533" s="76"/>
      <c r="AE533" s="76">
        <f t="shared" si="53"/>
        <v>50238.9</v>
      </c>
      <c r="AF533" s="76"/>
      <c r="AG533" s="76">
        <v>-12966.24</v>
      </c>
      <c r="AH533" s="76"/>
      <c r="AI533" s="76">
        <v>19059.45</v>
      </c>
      <c r="AJ533" s="76"/>
      <c r="AK533" s="76">
        <v>6093.21</v>
      </c>
      <c r="AL533" s="24">
        <f>+'Gen Rev'!AI530-'Gen Exp'!AE533+'Gen Exp'!AI533-AK533</f>
        <v>0</v>
      </c>
      <c r="AM533" s="41" t="str">
        <f>'Gen Rev'!A530</f>
        <v>Polk</v>
      </c>
      <c r="AN533" s="21" t="str">
        <f t="shared" si="54"/>
        <v>Polk</v>
      </c>
      <c r="AO533" s="21" t="b">
        <f t="shared" si="55"/>
        <v>1</v>
      </c>
    </row>
    <row r="534" spans="1:41" ht="12" customHeight="1" x14ac:dyDescent="0.2">
      <c r="A534" s="1" t="s">
        <v>157</v>
      </c>
      <c r="C534" s="1" t="s">
        <v>782</v>
      </c>
      <c r="D534" s="23"/>
      <c r="E534" s="76">
        <v>492906.93</v>
      </c>
      <c r="F534" s="76"/>
      <c r="G534" s="76">
        <v>0</v>
      </c>
      <c r="H534" s="76"/>
      <c r="I534" s="76">
        <v>0</v>
      </c>
      <c r="J534" s="76"/>
      <c r="K534" s="76">
        <v>0</v>
      </c>
      <c r="L534" s="76"/>
      <c r="M534" s="76">
        <v>10669.47</v>
      </c>
      <c r="N534" s="76"/>
      <c r="O534" s="76">
        <v>0</v>
      </c>
      <c r="P534" s="76"/>
      <c r="Q534" s="76">
        <v>156505.51</v>
      </c>
      <c r="R534" s="76"/>
      <c r="S534" s="76">
        <v>0</v>
      </c>
      <c r="T534" s="76"/>
      <c r="U534" s="76">
        <v>20712.57</v>
      </c>
      <c r="V534" s="76"/>
      <c r="W534" s="76">
        <v>23904.7</v>
      </c>
      <c r="X534" s="76"/>
      <c r="Y534" s="76">
        <v>8897</v>
      </c>
      <c r="Z534" s="76"/>
      <c r="AA534" s="76">
        <v>500</v>
      </c>
      <c r="AB534" s="76"/>
      <c r="AC534" s="76">
        <v>239.74</v>
      </c>
      <c r="AD534" s="76"/>
      <c r="AE534" s="76">
        <f t="shared" si="53"/>
        <v>714335.91999999981</v>
      </c>
      <c r="AF534" s="76"/>
      <c r="AG534" s="76">
        <v>56584.800000000003</v>
      </c>
      <c r="AH534" s="76"/>
      <c r="AI534" s="76">
        <v>17141.759999999998</v>
      </c>
      <c r="AJ534" s="76"/>
      <c r="AK534" s="76">
        <v>73726.559999999998</v>
      </c>
      <c r="AL534" s="24">
        <f>+'Gen Rev'!AI534-'Gen Exp'!AE534+'Gen Exp'!AI534-AK534</f>
        <v>2.7648638933897018E-10</v>
      </c>
      <c r="AM534" s="41" t="str">
        <f>'Gen Rev'!A534</f>
        <v>Pomeroy</v>
      </c>
      <c r="AN534" s="21" t="str">
        <f t="shared" si="54"/>
        <v>Pomeroy</v>
      </c>
      <c r="AO534" s="21" t="b">
        <f t="shared" si="55"/>
        <v>1</v>
      </c>
    </row>
    <row r="535" spans="1:41" ht="12" customHeight="1" x14ac:dyDescent="0.2">
      <c r="A535" s="1" t="s">
        <v>895</v>
      </c>
      <c r="C535" s="1" t="s">
        <v>536</v>
      </c>
      <c r="E535" s="76">
        <v>21641</v>
      </c>
      <c r="F535" s="76"/>
      <c r="G535" s="76">
        <v>901</v>
      </c>
      <c r="H535" s="76"/>
      <c r="I535" s="76">
        <v>0</v>
      </c>
      <c r="J535" s="76"/>
      <c r="K535" s="76">
        <v>148</v>
      </c>
      <c r="L535" s="76"/>
      <c r="M535" s="76">
        <v>926</v>
      </c>
      <c r="N535" s="76"/>
      <c r="O535" s="76">
        <v>0</v>
      </c>
      <c r="P535" s="76"/>
      <c r="Q535" s="76">
        <v>30969</v>
      </c>
      <c r="R535" s="76"/>
      <c r="S535" s="76">
        <v>0</v>
      </c>
      <c r="T535" s="76"/>
      <c r="U535" s="76">
        <v>0</v>
      </c>
      <c r="V535" s="76"/>
      <c r="W535" s="76">
        <v>0</v>
      </c>
      <c r="X535" s="76"/>
      <c r="Y535" s="76">
        <v>0</v>
      </c>
      <c r="Z535" s="76"/>
      <c r="AA535" s="76">
        <v>0</v>
      </c>
      <c r="AB535" s="76"/>
      <c r="AC535" s="76">
        <v>0</v>
      </c>
      <c r="AD535" s="76"/>
      <c r="AE535" s="76">
        <f t="shared" si="53"/>
        <v>54585</v>
      </c>
      <c r="AF535" s="76"/>
      <c r="AG535" s="76">
        <f>'Gen Rev'!AI535-'Gen Exp'!AE535</f>
        <v>-6225</v>
      </c>
      <c r="AH535" s="76"/>
      <c r="AI535" s="76">
        <f>AK535-AG535</f>
        <v>24988</v>
      </c>
      <c r="AJ535" s="76"/>
      <c r="AK535" s="76">
        <v>18763</v>
      </c>
      <c r="AL535" s="24">
        <f>+'Gen Rev'!AI535-'Gen Exp'!AE535+'Gen Exp'!AI535-AK535</f>
        <v>0</v>
      </c>
      <c r="AM535" s="41" t="str">
        <f>'Gen Rev'!A535</f>
        <v>Port Jefferson</v>
      </c>
      <c r="AN535" s="21" t="str">
        <f t="shared" si="54"/>
        <v>Port Jefferson</v>
      </c>
      <c r="AO535" s="21" t="b">
        <f t="shared" si="55"/>
        <v>1</v>
      </c>
    </row>
    <row r="536" spans="1:41" s="47" customFormat="1" ht="12" customHeight="1" x14ac:dyDescent="0.2">
      <c r="A536" s="1" t="s">
        <v>679</v>
      </c>
      <c r="B536" s="1"/>
      <c r="C536" s="1" t="s">
        <v>560</v>
      </c>
      <c r="D536" s="23"/>
      <c r="E536" s="76">
        <v>23440.51</v>
      </c>
      <c r="F536" s="76"/>
      <c r="G536" s="76">
        <v>2569.11</v>
      </c>
      <c r="H536" s="76"/>
      <c r="I536" s="76">
        <v>383.33</v>
      </c>
      <c r="J536" s="76"/>
      <c r="K536" s="76">
        <v>1073.07</v>
      </c>
      <c r="L536" s="76"/>
      <c r="M536" s="76">
        <v>0</v>
      </c>
      <c r="N536" s="76"/>
      <c r="O536" s="76">
        <v>0</v>
      </c>
      <c r="P536" s="76"/>
      <c r="Q536" s="76">
        <v>56475.63</v>
      </c>
      <c r="R536" s="76"/>
      <c r="S536" s="76">
        <v>0</v>
      </c>
      <c r="T536" s="76"/>
      <c r="U536" s="76">
        <v>0</v>
      </c>
      <c r="V536" s="76"/>
      <c r="W536" s="76">
        <v>0</v>
      </c>
      <c r="X536" s="76"/>
      <c r="Y536" s="76">
        <v>0</v>
      </c>
      <c r="Z536" s="76"/>
      <c r="AA536" s="76">
        <v>0</v>
      </c>
      <c r="AB536" s="76"/>
      <c r="AC536" s="76">
        <v>0</v>
      </c>
      <c r="AD536" s="76"/>
      <c r="AE536" s="76">
        <f t="shared" ref="AE536:AE571" si="56">SUM(E536:AC536)</f>
        <v>83941.65</v>
      </c>
      <c r="AF536" s="76"/>
      <c r="AG536" s="76">
        <v>35523.85</v>
      </c>
      <c r="AH536" s="76"/>
      <c r="AI536" s="76">
        <v>31940.59</v>
      </c>
      <c r="AJ536" s="76"/>
      <c r="AK536" s="76">
        <v>67464.44</v>
      </c>
      <c r="AL536" s="24">
        <f>+'Gen Rev'!AI536-'Gen Exp'!AE536+'Gen Exp'!AI536-AK536</f>
        <v>0</v>
      </c>
      <c r="AM536" s="41" t="str">
        <f>'Gen Rev'!A536</f>
        <v>Port Washington</v>
      </c>
      <c r="AN536" s="21" t="str">
        <f t="shared" ref="AN536:AN571" si="57">A536</f>
        <v>Port Washington</v>
      </c>
      <c r="AO536" s="21" t="b">
        <f t="shared" ref="AO536:AO567" si="58">AM536=AN536</f>
        <v>1</v>
      </c>
    </row>
    <row r="537" spans="1:41" ht="12" customHeight="1" x14ac:dyDescent="0.2">
      <c r="A537" s="1" t="s">
        <v>303</v>
      </c>
      <c r="C537" s="1" t="s">
        <v>299</v>
      </c>
      <c r="E537" s="76">
        <v>20947.68</v>
      </c>
      <c r="F537" s="76"/>
      <c r="G537" s="76">
        <v>0</v>
      </c>
      <c r="H537" s="76"/>
      <c r="I537" s="76">
        <v>0</v>
      </c>
      <c r="J537" s="76"/>
      <c r="K537" s="76">
        <v>0</v>
      </c>
      <c r="L537" s="76"/>
      <c r="M537" s="76">
        <v>0</v>
      </c>
      <c r="N537" s="76"/>
      <c r="O537" s="76">
        <v>143.03</v>
      </c>
      <c r="P537" s="76"/>
      <c r="Q537" s="76">
        <v>16770.28</v>
      </c>
      <c r="R537" s="76"/>
      <c r="S537" s="76">
        <v>0</v>
      </c>
      <c r="T537" s="76"/>
      <c r="U537" s="76">
        <v>0</v>
      </c>
      <c r="V537" s="76"/>
      <c r="W537" s="76">
        <v>0</v>
      </c>
      <c r="X537" s="76"/>
      <c r="Y537" s="76">
        <v>0</v>
      </c>
      <c r="Z537" s="76"/>
      <c r="AA537" s="76">
        <v>0</v>
      </c>
      <c r="AB537" s="76"/>
      <c r="AC537" s="76">
        <v>0</v>
      </c>
      <c r="AD537" s="76"/>
      <c r="AE537" s="76">
        <f t="shared" si="56"/>
        <v>37860.99</v>
      </c>
      <c r="AF537" s="76"/>
      <c r="AG537" s="76">
        <v>7202.06</v>
      </c>
      <c r="AH537" s="76"/>
      <c r="AI537" s="76">
        <v>13519.13</v>
      </c>
      <c r="AJ537" s="76"/>
      <c r="AK537" s="76">
        <v>20721.189999999999</v>
      </c>
      <c r="AL537" s="24">
        <f>+'Gen Rev'!AI537-'Gen Exp'!AE537+'Gen Exp'!AI537-AK537</f>
        <v>0</v>
      </c>
      <c r="AM537" s="41" t="str">
        <f>'Gen Rev'!A537</f>
        <v>Port William</v>
      </c>
      <c r="AN537" s="21" t="str">
        <f t="shared" si="57"/>
        <v>Port William</v>
      </c>
      <c r="AO537" s="21" t="b">
        <f t="shared" si="58"/>
        <v>1</v>
      </c>
    </row>
    <row r="538" spans="1:41" s="21" customFormat="1" ht="12" customHeight="1" x14ac:dyDescent="0.2">
      <c r="A538" s="1" t="s">
        <v>259</v>
      </c>
      <c r="B538" s="1"/>
      <c r="C538" s="1" t="s">
        <v>813</v>
      </c>
      <c r="D538" s="23"/>
      <c r="E538" s="76">
        <v>0</v>
      </c>
      <c r="F538" s="76"/>
      <c r="G538" s="76">
        <v>297.94</v>
      </c>
      <c r="H538" s="76"/>
      <c r="I538" s="76">
        <v>151.6</v>
      </c>
      <c r="J538" s="76"/>
      <c r="K538" s="76">
        <v>547.89</v>
      </c>
      <c r="L538" s="76"/>
      <c r="M538" s="76">
        <v>0</v>
      </c>
      <c r="N538" s="76"/>
      <c r="O538" s="76">
        <v>0</v>
      </c>
      <c r="P538" s="76"/>
      <c r="Q538" s="76">
        <v>51166.03</v>
      </c>
      <c r="R538" s="76"/>
      <c r="S538" s="76">
        <v>0</v>
      </c>
      <c r="T538" s="76"/>
      <c r="U538" s="76">
        <v>5251.07</v>
      </c>
      <c r="V538" s="76"/>
      <c r="W538" s="76">
        <v>483.01</v>
      </c>
      <c r="X538" s="76"/>
      <c r="Y538" s="76">
        <v>10321.790000000001</v>
      </c>
      <c r="Z538" s="76"/>
      <c r="AA538" s="76">
        <v>0</v>
      </c>
      <c r="AB538" s="76"/>
      <c r="AC538" s="76">
        <v>0</v>
      </c>
      <c r="AD538" s="76"/>
      <c r="AE538" s="76">
        <f t="shared" si="56"/>
        <v>68219.33</v>
      </c>
      <c r="AF538" s="76"/>
      <c r="AG538" s="76">
        <v>28969.52</v>
      </c>
      <c r="AH538" s="76"/>
      <c r="AI538" s="76">
        <v>-103572.11</v>
      </c>
      <c r="AJ538" s="76"/>
      <c r="AK538" s="76">
        <v>-74602.59</v>
      </c>
      <c r="AL538" s="24">
        <f>+'Gen Rev'!AI538-'Gen Exp'!AE538+'Gen Exp'!AI538-AK538</f>
        <v>0</v>
      </c>
      <c r="AM538" s="41" t="str">
        <f>'Gen Rev'!A538</f>
        <v>Portage</v>
      </c>
      <c r="AN538" s="21" t="str">
        <f t="shared" si="57"/>
        <v>Portage</v>
      </c>
      <c r="AO538" s="21" t="b">
        <f t="shared" si="58"/>
        <v>1</v>
      </c>
    </row>
    <row r="539" spans="1:41" s="21" customFormat="1" ht="12" customHeight="1" x14ac:dyDescent="0.2">
      <c r="A539" s="1" t="s">
        <v>471</v>
      </c>
      <c r="B539" s="1"/>
      <c r="C539" s="1" t="s">
        <v>470</v>
      </c>
      <c r="D539" s="23"/>
      <c r="E539" s="76">
        <v>2000</v>
      </c>
      <c r="F539" s="76"/>
      <c r="G539" s="76">
        <v>0</v>
      </c>
      <c r="H539" s="76"/>
      <c r="I539" s="76">
        <v>1925</v>
      </c>
      <c r="J539" s="76"/>
      <c r="K539" s="76">
        <v>0</v>
      </c>
      <c r="L539" s="76"/>
      <c r="M539" s="76">
        <v>0</v>
      </c>
      <c r="N539" s="76"/>
      <c r="O539" s="76">
        <v>0</v>
      </c>
      <c r="P539" s="76"/>
      <c r="Q539" s="76">
        <v>15883.9</v>
      </c>
      <c r="R539" s="76"/>
      <c r="S539" s="76">
        <v>0</v>
      </c>
      <c r="T539" s="76"/>
      <c r="U539" s="76">
        <v>0</v>
      </c>
      <c r="V539" s="76"/>
      <c r="W539" s="76">
        <v>0</v>
      </c>
      <c r="X539" s="76"/>
      <c r="Y539" s="76">
        <v>8200</v>
      </c>
      <c r="Z539" s="76"/>
      <c r="AA539" s="76">
        <v>0</v>
      </c>
      <c r="AB539" s="76"/>
      <c r="AC539" s="76">
        <v>0</v>
      </c>
      <c r="AD539" s="76"/>
      <c r="AE539" s="76">
        <f t="shared" si="56"/>
        <v>28008.9</v>
      </c>
      <c r="AF539" s="76"/>
      <c r="AG539" s="76">
        <v>-1092.18</v>
      </c>
      <c r="AH539" s="76"/>
      <c r="AI539" s="76">
        <v>42555.97</v>
      </c>
      <c r="AJ539" s="76"/>
      <c r="AK539" s="76">
        <v>41463.79</v>
      </c>
      <c r="AL539" s="24">
        <f>+'Gen Rev'!AI539-'Gen Exp'!AE539+'Gen Exp'!AI539-AK539</f>
        <v>0</v>
      </c>
      <c r="AM539" s="41" t="str">
        <f>'Gen Rev'!A539</f>
        <v>Potsdam</v>
      </c>
      <c r="AN539" s="21" t="str">
        <f t="shared" si="57"/>
        <v>Potsdam</v>
      </c>
      <c r="AO539" s="21" t="b">
        <f t="shared" si="58"/>
        <v>1</v>
      </c>
    </row>
    <row r="540" spans="1:41" s="21" customFormat="1" ht="12" customHeight="1" x14ac:dyDescent="0.2">
      <c r="A540" s="1" t="s">
        <v>19</v>
      </c>
      <c r="B540" s="1"/>
      <c r="C540" s="1" t="s">
        <v>741</v>
      </c>
      <c r="D540" s="23"/>
      <c r="E540" s="76">
        <v>168152.24</v>
      </c>
      <c r="F540" s="76"/>
      <c r="G540" s="76">
        <v>4879</v>
      </c>
      <c r="H540" s="76"/>
      <c r="I540" s="76">
        <v>0</v>
      </c>
      <c r="J540" s="76"/>
      <c r="K540" s="76">
        <v>0</v>
      </c>
      <c r="L540" s="76"/>
      <c r="M540" s="76">
        <v>0</v>
      </c>
      <c r="N540" s="76"/>
      <c r="O540" s="76">
        <v>0</v>
      </c>
      <c r="P540" s="76"/>
      <c r="Q540" s="76">
        <v>163937.42000000001</v>
      </c>
      <c r="R540" s="76"/>
      <c r="S540" s="76">
        <v>40500</v>
      </c>
      <c r="T540" s="76"/>
      <c r="U540" s="76">
        <v>0</v>
      </c>
      <c r="V540" s="76"/>
      <c r="W540" s="76">
        <v>0</v>
      </c>
      <c r="X540" s="76"/>
      <c r="Y540" s="76">
        <v>32000</v>
      </c>
      <c r="Z540" s="76"/>
      <c r="AA540" s="76">
        <v>1100</v>
      </c>
      <c r="AB540" s="76"/>
      <c r="AC540" s="76">
        <v>9.02</v>
      </c>
      <c r="AD540" s="76"/>
      <c r="AE540" s="76">
        <f t="shared" si="56"/>
        <v>410577.68000000005</v>
      </c>
      <c r="AF540" s="76"/>
      <c r="AG540" s="76">
        <v>-58592.18</v>
      </c>
      <c r="AH540" s="76"/>
      <c r="AI540" s="76">
        <v>210458.02</v>
      </c>
      <c r="AJ540" s="76"/>
      <c r="AK540" s="76">
        <v>151865.84</v>
      </c>
      <c r="AL540" s="24">
        <f>+'Gen Rev'!AI540-'Gen Exp'!AE540+'Gen Exp'!AI540-AK540</f>
        <v>0</v>
      </c>
      <c r="AM540" s="41" t="str">
        <f>'Gen Rev'!A540</f>
        <v>Powhatan Point</v>
      </c>
      <c r="AN540" s="21" t="str">
        <f t="shared" si="57"/>
        <v>Powhatan Point</v>
      </c>
      <c r="AO540" s="21" t="b">
        <f t="shared" si="58"/>
        <v>1</v>
      </c>
    </row>
    <row r="541" spans="1:41" s="21" customFormat="1" ht="12" customHeight="1" x14ac:dyDescent="0.2">
      <c r="A541" s="1" t="s">
        <v>127</v>
      </c>
      <c r="B541" s="1"/>
      <c r="C541" s="1" t="s">
        <v>437</v>
      </c>
      <c r="D541" s="23"/>
      <c r="E541" s="76">
        <v>181768.67</v>
      </c>
      <c r="F541" s="76"/>
      <c r="G541" s="76">
        <v>0</v>
      </c>
      <c r="H541" s="76"/>
      <c r="I541" s="76">
        <v>229</v>
      </c>
      <c r="J541" s="76"/>
      <c r="K541" s="76">
        <v>0</v>
      </c>
      <c r="L541" s="76"/>
      <c r="M541" s="76">
        <v>0</v>
      </c>
      <c r="N541" s="76"/>
      <c r="O541" s="76">
        <v>0</v>
      </c>
      <c r="P541" s="76"/>
      <c r="Q541" s="76">
        <v>88540.92</v>
      </c>
      <c r="R541" s="76"/>
      <c r="S541" s="76">
        <v>0</v>
      </c>
      <c r="T541" s="76"/>
      <c r="U541" s="76">
        <v>0</v>
      </c>
      <c r="V541" s="76"/>
      <c r="W541" s="76">
        <v>0</v>
      </c>
      <c r="X541" s="76"/>
      <c r="Y541" s="76">
        <v>0</v>
      </c>
      <c r="Z541" s="76"/>
      <c r="AA541" s="76">
        <v>0</v>
      </c>
      <c r="AB541" s="76"/>
      <c r="AC541" s="76">
        <v>4210.78</v>
      </c>
      <c r="AD541" s="76"/>
      <c r="AE541" s="76">
        <f t="shared" si="56"/>
        <v>274749.37000000005</v>
      </c>
      <c r="AF541" s="76"/>
      <c r="AG541" s="76">
        <v>-4543.1000000000004</v>
      </c>
      <c r="AH541" s="76"/>
      <c r="AI541" s="76">
        <v>10763.06</v>
      </c>
      <c r="AJ541" s="76"/>
      <c r="AK541" s="76">
        <v>6219.96</v>
      </c>
      <c r="AL541" s="24">
        <f>+'Gen Rev'!AI541-'Gen Exp'!AE541+'Gen Exp'!AI541-AK541</f>
        <v>-3.5470293369144201E-11</v>
      </c>
      <c r="AM541" s="41" t="str">
        <f>'Gen Rev'!A541</f>
        <v>Proctorville</v>
      </c>
      <c r="AN541" s="21" t="str">
        <f t="shared" si="57"/>
        <v>Proctorville</v>
      </c>
      <c r="AO541" s="21" t="b">
        <f t="shared" si="58"/>
        <v>1</v>
      </c>
    </row>
    <row r="542" spans="1:41" ht="12" customHeight="1" x14ac:dyDescent="0.2">
      <c r="A542" s="1" t="s">
        <v>150</v>
      </c>
      <c r="C542" s="1" t="s">
        <v>780</v>
      </c>
      <c r="D542" s="23"/>
      <c r="E542" s="76">
        <v>55575.22</v>
      </c>
      <c r="F542" s="76"/>
      <c r="G542" s="76">
        <v>2250</v>
      </c>
      <c r="H542" s="76"/>
      <c r="I542" s="76">
        <v>0</v>
      </c>
      <c r="J542" s="76"/>
      <c r="K542" s="76">
        <v>0</v>
      </c>
      <c r="L542" s="76"/>
      <c r="M542" s="76">
        <v>0</v>
      </c>
      <c r="N542" s="76"/>
      <c r="O542" s="76">
        <v>0</v>
      </c>
      <c r="P542" s="76"/>
      <c r="Q542" s="76">
        <v>53336.82</v>
      </c>
      <c r="R542" s="76"/>
      <c r="S542" s="76">
        <v>0</v>
      </c>
      <c r="T542" s="76"/>
      <c r="U542" s="76">
        <v>0</v>
      </c>
      <c r="V542" s="76"/>
      <c r="W542" s="76">
        <v>0</v>
      </c>
      <c r="X542" s="76"/>
      <c r="Y542" s="76">
        <v>14700</v>
      </c>
      <c r="Z542" s="76"/>
      <c r="AA542" s="76">
        <v>0</v>
      </c>
      <c r="AB542" s="76"/>
      <c r="AC542" s="76">
        <v>0</v>
      </c>
      <c r="AD542" s="76"/>
      <c r="AE542" s="76">
        <f t="shared" si="56"/>
        <v>125862.04000000001</v>
      </c>
      <c r="AF542" s="76"/>
      <c r="AG542" s="76">
        <v>14871.68</v>
      </c>
      <c r="AH542" s="76"/>
      <c r="AI542" s="76">
        <v>39151.06</v>
      </c>
      <c r="AJ542" s="76"/>
      <c r="AK542" s="76">
        <v>54022.74</v>
      </c>
      <c r="AL542" s="24">
        <f>+'Gen Rev'!AI542-'Gen Exp'!AE542+'Gen Exp'!AI542-AK542</f>
        <v>0</v>
      </c>
      <c r="AM542" s="41" t="str">
        <f>'Gen Rev'!A542</f>
        <v>Prospect</v>
      </c>
      <c r="AN542" s="21" t="str">
        <f t="shared" si="57"/>
        <v>Prospect</v>
      </c>
      <c r="AO542" s="21" t="b">
        <f t="shared" si="58"/>
        <v>1</v>
      </c>
    </row>
    <row r="543" spans="1:41" ht="12" customHeight="1" x14ac:dyDescent="0.2">
      <c r="A543" s="1" t="s">
        <v>181</v>
      </c>
      <c r="C543" s="1" t="s">
        <v>791</v>
      </c>
      <c r="D543" s="23"/>
      <c r="E543" s="76">
        <v>571459.69999999995</v>
      </c>
      <c r="F543" s="76"/>
      <c r="G543" s="76">
        <v>6821.31</v>
      </c>
      <c r="H543" s="76"/>
      <c r="I543" s="76">
        <v>230443.91</v>
      </c>
      <c r="J543" s="76"/>
      <c r="K543" s="76">
        <v>5001.68</v>
      </c>
      <c r="L543" s="76"/>
      <c r="M543" s="76">
        <v>0</v>
      </c>
      <c r="N543" s="76"/>
      <c r="O543" s="76">
        <v>58603.8</v>
      </c>
      <c r="P543" s="76"/>
      <c r="Q543" s="76">
        <v>315141.34999999998</v>
      </c>
      <c r="R543" s="76"/>
      <c r="S543" s="76">
        <v>198924.94</v>
      </c>
      <c r="T543" s="76"/>
      <c r="U543" s="76">
        <v>0</v>
      </c>
      <c r="V543" s="76"/>
      <c r="W543" s="76">
        <v>125353.78</v>
      </c>
      <c r="X543" s="76"/>
      <c r="Y543" s="76">
        <v>6589.75</v>
      </c>
      <c r="Z543" s="76"/>
      <c r="AA543" s="76">
        <v>16220</v>
      </c>
      <c r="AB543" s="76"/>
      <c r="AC543" s="76">
        <v>0</v>
      </c>
      <c r="AD543" s="76"/>
      <c r="AE543" s="76">
        <f t="shared" si="56"/>
        <v>1534560.22</v>
      </c>
      <c r="AF543" s="76"/>
      <c r="AG543" s="76">
        <v>304764.48</v>
      </c>
      <c r="AH543" s="76"/>
      <c r="AI543" s="76">
        <v>595396.23</v>
      </c>
      <c r="AJ543" s="76"/>
      <c r="AK543" s="76">
        <v>900160.71</v>
      </c>
      <c r="AL543" s="24">
        <f>+'Gen Rev'!AI543-'Gen Exp'!AE543+'Gen Exp'!AI543-AK543</f>
        <v>0</v>
      </c>
      <c r="AM543" s="41" t="str">
        <f>'Gen Rev'!A543</f>
        <v>Put-In-Bay</v>
      </c>
      <c r="AN543" s="21" t="str">
        <f t="shared" si="57"/>
        <v>Put-In-Bay</v>
      </c>
      <c r="AO543" s="21" t="b">
        <f t="shared" si="58"/>
        <v>1</v>
      </c>
    </row>
    <row r="544" spans="1:41" ht="12" customHeight="1" x14ac:dyDescent="0.2">
      <c r="A544" s="1" t="s">
        <v>89</v>
      </c>
      <c r="C544" s="1" t="s">
        <v>762</v>
      </c>
      <c r="D544" s="23"/>
      <c r="E544" s="76">
        <v>9986.84</v>
      </c>
      <c r="F544" s="76"/>
      <c r="G544" s="76">
        <v>2825.28</v>
      </c>
      <c r="H544" s="76"/>
      <c r="I544" s="76">
        <v>6245.39</v>
      </c>
      <c r="J544" s="76"/>
      <c r="K544" s="76">
        <v>0</v>
      </c>
      <c r="L544" s="76"/>
      <c r="M544" s="76">
        <v>0</v>
      </c>
      <c r="N544" s="76"/>
      <c r="O544" s="76">
        <v>0</v>
      </c>
      <c r="P544" s="76"/>
      <c r="Q544" s="76">
        <v>19702.43</v>
      </c>
      <c r="R544" s="76"/>
      <c r="S544" s="76">
        <v>7949.32</v>
      </c>
      <c r="T544" s="76"/>
      <c r="U544" s="76">
        <v>0</v>
      </c>
      <c r="V544" s="76"/>
      <c r="W544" s="76">
        <v>0</v>
      </c>
      <c r="X544" s="76"/>
      <c r="Y544" s="76">
        <v>0</v>
      </c>
      <c r="Z544" s="76"/>
      <c r="AA544" s="76">
        <v>0</v>
      </c>
      <c r="AB544" s="76"/>
      <c r="AC544" s="76">
        <v>0</v>
      </c>
      <c r="AD544" s="76"/>
      <c r="AE544" s="76">
        <f t="shared" si="56"/>
        <v>46709.26</v>
      </c>
      <c r="AF544" s="76"/>
      <c r="AG544" s="76">
        <v>-7498.54</v>
      </c>
      <c r="AH544" s="76"/>
      <c r="AI544" s="76">
        <v>29298.91</v>
      </c>
      <c r="AJ544" s="76"/>
      <c r="AK544" s="76">
        <v>21800.37</v>
      </c>
      <c r="AL544" s="24">
        <f>+'Gen Rev'!AI544-'Gen Exp'!AE544+'Gen Exp'!AI544-AK544</f>
        <v>0</v>
      </c>
      <c r="AM544" s="41" t="str">
        <f>'Gen Rev'!A544</f>
        <v>Quaker City</v>
      </c>
      <c r="AN544" s="21" t="str">
        <f t="shared" si="57"/>
        <v>Quaker City</v>
      </c>
      <c r="AO544" s="21" t="b">
        <f t="shared" si="58"/>
        <v>1</v>
      </c>
    </row>
    <row r="545" spans="1:41" ht="12" customHeight="1" x14ac:dyDescent="0.2">
      <c r="A545" s="1" t="s">
        <v>134</v>
      </c>
      <c r="C545" s="1" t="s">
        <v>775</v>
      </c>
      <c r="D545" s="23"/>
      <c r="E545" s="76">
        <v>24032.81</v>
      </c>
      <c r="F545" s="76"/>
      <c r="G545" s="76">
        <v>0</v>
      </c>
      <c r="H545" s="76"/>
      <c r="I545" s="76">
        <v>20852.48</v>
      </c>
      <c r="J545" s="76"/>
      <c r="K545" s="76">
        <v>0</v>
      </c>
      <c r="L545" s="76"/>
      <c r="M545" s="76">
        <v>0</v>
      </c>
      <c r="N545" s="76"/>
      <c r="O545" s="76">
        <v>0</v>
      </c>
      <c r="P545" s="76"/>
      <c r="Q545" s="76">
        <v>60004.62</v>
      </c>
      <c r="R545" s="76"/>
      <c r="S545" s="76">
        <v>1104.3</v>
      </c>
      <c r="T545" s="76"/>
      <c r="U545" s="76">
        <v>24114.51</v>
      </c>
      <c r="V545" s="76"/>
      <c r="W545" s="76">
        <v>3038.52</v>
      </c>
      <c r="X545" s="76"/>
      <c r="Y545" s="76">
        <v>0</v>
      </c>
      <c r="Z545" s="76"/>
      <c r="AA545" s="76">
        <v>0</v>
      </c>
      <c r="AB545" s="76"/>
      <c r="AC545" s="76">
        <v>0</v>
      </c>
      <c r="AD545" s="76"/>
      <c r="AE545" s="76">
        <f t="shared" si="56"/>
        <v>133147.24</v>
      </c>
      <c r="AF545" s="76"/>
      <c r="AG545" s="76">
        <v>2913.54</v>
      </c>
      <c r="AH545" s="76"/>
      <c r="AI545" s="76">
        <v>26313.71</v>
      </c>
      <c r="AJ545" s="76"/>
      <c r="AK545" s="76">
        <v>29227.25</v>
      </c>
      <c r="AL545" s="24">
        <f>+'Gen Rev'!AI545-'Gen Exp'!AE545+'Gen Exp'!AI545-AK545</f>
        <v>0</v>
      </c>
      <c r="AM545" s="41" t="str">
        <f>'Gen Rev'!A545</f>
        <v>Quincy</v>
      </c>
      <c r="AN545" s="21" t="str">
        <f t="shared" si="57"/>
        <v>Quincy</v>
      </c>
      <c r="AO545" s="21" t="b">
        <f t="shared" si="58"/>
        <v>1</v>
      </c>
    </row>
    <row r="546" spans="1:41" ht="12" customHeight="1" x14ac:dyDescent="0.2">
      <c r="A546" s="1" t="s">
        <v>158</v>
      </c>
      <c r="C546" s="1" t="s">
        <v>782</v>
      </c>
      <c r="D546" s="23"/>
      <c r="E546" s="76">
        <v>35126.660000000003</v>
      </c>
      <c r="F546" s="76"/>
      <c r="G546" s="76">
        <v>0</v>
      </c>
      <c r="H546" s="76"/>
      <c r="I546" s="76">
        <v>3943.42</v>
      </c>
      <c r="J546" s="76"/>
      <c r="K546" s="76">
        <v>475.38</v>
      </c>
      <c r="L546" s="76"/>
      <c r="M546" s="76">
        <v>6676.39</v>
      </c>
      <c r="N546" s="76"/>
      <c r="O546" s="76">
        <v>21490.04</v>
      </c>
      <c r="P546" s="76"/>
      <c r="Q546" s="76">
        <v>36026.31</v>
      </c>
      <c r="R546" s="76"/>
      <c r="S546" s="76">
        <v>0</v>
      </c>
      <c r="T546" s="76"/>
      <c r="U546" s="76">
        <v>6756.16</v>
      </c>
      <c r="V546" s="76"/>
      <c r="W546" s="76">
        <v>1017.15</v>
      </c>
      <c r="X546" s="76"/>
      <c r="Y546" s="76">
        <v>0</v>
      </c>
      <c r="Z546" s="76"/>
      <c r="AA546" s="76">
        <v>0</v>
      </c>
      <c r="AB546" s="76"/>
      <c r="AC546" s="76">
        <v>0</v>
      </c>
      <c r="AD546" s="76"/>
      <c r="AE546" s="76">
        <f t="shared" si="56"/>
        <v>111511.51</v>
      </c>
      <c r="AF546" s="76"/>
      <c r="AG546" s="76">
        <v>-8381.07</v>
      </c>
      <c r="AH546" s="76"/>
      <c r="AI546" s="76">
        <v>41824.76</v>
      </c>
      <c r="AJ546" s="76"/>
      <c r="AK546" s="76">
        <v>33443.69</v>
      </c>
      <c r="AL546" s="24">
        <f>+'Gen Rev'!AI546-'Gen Exp'!AE546+'Gen Exp'!AI546-AK546</f>
        <v>0</v>
      </c>
      <c r="AM546" s="41" t="str">
        <f>'Gen Rev'!A546</f>
        <v>Racine</v>
      </c>
      <c r="AN546" s="21" t="str">
        <f t="shared" si="57"/>
        <v>Racine</v>
      </c>
      <c r="AO546" s="21" t="b">
        <f t="shared" si="58"/>
        <v>1</v>
      </c>
    </row>
    <row r="547" spans="1:41" s="10" customFormat="1" ht="12" hidden="1" customHeight="1" x14ac:dyDescent="0.2">
      <c r="A547" s="1" t="s">
        <v>530</v>
      </c>
      <c r="B547" s="1"/>
      <c r="C547" s="1" t="s">
        <v>529</v>
      </c>
      <c r="D547" s="21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>
        <f t="shared" si="56"/>
        <v>0</v>
      </c>
      <c r="AF547" s="76"/>
      <c r="AG547" s="76"/>
      <c r="AH547" s="76"/>
      <c r="AI547" s="76"/>
      <c r="AJ547" s="76"/>
      <c r="AK547" s="76"/>
      <c r="AL547" s="24">
        <f>+'Gen Rev'!AI547-'Gen Exp'!AE547+'Gen Exp'!AI547-AK547</f>
        <v>0</v>
      </c>
      <c r="AM547" s="41" t="str">
        <f>'Gen Rev'!A547</f>
        <v>Rarden</v>
      </c>
      <c r="AN547" s="21" t="str">
        <f t="shared" si="57"/>
        <v>Rarden</v>
      </c>
      <c r="AO547" s="21" t="b">
        <f t="shared" si="58"/>
        <v>1</v>
      </c>
    </row>
    <row r="548" spans="1:41" s="21" customFormat="1" ht="12" customHeight="1" x14ac:dyDescent="0.2">
      <c r="A548" s="1" t="s">
        <v>392</v>
      </c>
      <c r="B548" s="1"/>
      <c r="C548" s="1" t="s">
        <v>388</v>
      </c>
      <c r="D548" s="1"/>
      <c r="E548" s="76">
        <v>10416.969999999999</v>
      </c>
      <c r="F548" s="76"/>
      <c r="G548" s="76">
        <v>1748.56</v>
      </c>
      <c r="H548" s="76"/>
      <c r="I548" s="76">
        <v>10615.31</v>
      </c>
      <c r="J548" s="76"/>
      <c r="K548" s="76">
        <v>0</v>
      </c>
      <c r="L548" s="76"/>
      <c r="M548" s="76">
        <v>0</v>
      </c>
      <c r="N548" s="76"/>
      <c r="O548" s="76">
        <v>0</v>
      </c>
      <c r="P548" s="76"/>
      <c r="Q548" s="76">
        <v>40279.040000000001</v>
      </c>
      <c r="R548" s="76"/>
      <c r="S548" s="76">
        <v>0</v>
      </c>
      <c r="T548" s="76"/>
      <c r="U548" s="76">
        <v>0</v>
      </c>
      <c r="V548" s="76"/>
      <c r="W548" s="76">
        <v>0</v>
      </c>
      <c r="X548" s="76"/>
      <c r="Y548" s="76">
        <v>0</v>
      </c>
      <c r="Z548" s="76"/>
      <c r="AA548" s="76">
        <v>0</v>
      </c>
      <c r="AB548" s="76"/>
      <c r="AC548" s="76">
        <v>0</v>
      </c>
      <c r="AD548" s="76"/>
      <c r="AE548" s="76">
        <f t="shared" si="56"/>
        <v>63059.88</v>
      </c>
      <c r="AF548" s="76"/>
      <c r="AG548" s="76">
        <v>18875.060000000001</v>
      </c>
      <c r="AH548" s="76"/>
      <c r="AI548" s="76">
        <v>69940.66</v>
      </c>
      <c r="AJ548" s="76"/>
      <c r="AK548" s="76">
        <v>88815.72</v>
      </c>
      <c r="AL548" s="24">
        <f>+'Gen Rev'!AI548-'Gen Exp'!AE548+'Gen Exp'!AI548-AK548</f>
        <v>0</v>
      </c>
      <c r="AM548" s="41" t="str">
        <f>'Gen Rev'!A548</f>
        <v>Rawson</v>
      </c>
      <c r="AN548" s="21" t="str">
        <f t="shared" si="57"/>
        <v>Rawson</v>
      </c>
      <c r="AO548" s="21" t="b">
        <f t="shared" si="58"/>
        <v>1</v>
      </c>
    </row>
    <row r="549" spans="1:41" s="21" customFormat="1" ht="12" customHeight="1" x14ac:dyDescent="0.2">
      <c r="A549" s="1" t="s">
        <v>945</v>
      </c>
      <c r="B549" s="1"/>
      <c r="C549" s="1" t="s">
        <v>770</v>
      </c>
      <c r="D549" s="1"/>
      <c r="E549" s="76">
        <v>20485</v>
      </c>
      <c r="F549" s="76"/>
      <c r="G549" s="76">
        <v>650</v>
      </c>
      <c r="H549" s="76"/>
      <c r="I549" s="76">
        <v>4850</v>
      </c>
      <c r="J549" s="76"/>
      <c r="K549" s="76">
        <v>0</v>
      </c>
      <c r="L549" s="76"/>
      <c r="M549" s="76">
        <v>0</v>
      </c>
      <c r="N549" s="76"/>
      <c r="O549" s="76">
        <v>0</v>
      </c>
      <c r="P549" s="76"/>
      <c r="Q549" s="76">
        <v>27502</v>
      </c>
      <c r="R549" s="76"/>
      <c r="S549" s="76">
        <v>0</v>
      </c>
      <c r="T549" s="76"/>
      <c r="U549" s="76">
        <v>406</v>
      </c>
      <c r="V549" s="76"/>
      <c r="W549" s="76">
        <v>15</v>
      </c>
      <c r="X549" s="76"/>
      <c r="Y549" s="76">
        <v>0</v>
      </c>
      <c r="Z549" s="76"/>
      <c r="AA549" s="76">
        <v>0</v>
      </c>
      <c r="AB549" s="76"/>
      <c r="AC549" s="76">
        <v>0</v>
      </c>
      <c r="AD549" s="76"/>
      <c r="AE549" s="76">
        <f t="shared" si="56"/>
        <v>53908</v>
      </c>
      <c r="AF549" s="76"/>
      <c r="AG549" s="76">
        <v>1491</v>
      </c>
      <c r="AH549" s="76"/>
      <c r="AI549" s="76">
        <v>-3237</v>
      </c>
      <c r="AJ549" s="76"/>
      <c r="AK549" s="76">
        <v>-1746</v>
      </c>
      <c r="AL549" s="24">
        <f>+'Gen Rev'!AI549-'Gen Exp'!AE549+'Gen Exp'!AI549-AK549</f>
        <v>0</v>
      </c>
      <c r="AM549" s="41" t="str">
        <f>'Gen Rev'!A549</f>
        <v>Rayland</v>
      </c>
      <c r="AN549" s="21" t="str">
        <f t="shared" si="57"/>
        <v>Rayland</v>
      </c>
      <c r="AO549" s="21" t="b">
        <f t="shared" si="58"/>
        <v>1</v>
      </c>
    </row>
    <row r="550" spans="1:41" ht="12" customHeight="1" x14ac:dyDescent="0.2">
      <c r="A550" s="1" t="s">
        <v>228</v>
      </c>
      <c r="C550" s="1" t="s">
        <v>549</v>
      </c>
      <c r="D550" s="23"/>
      <c r="E550" s="76">
        <v>972847.81</v>
      </c>
      <c r="F550" s="76"/>
      <c r="G550" s="76">
        <v>1100</v>
      </c>
      <c r="H550" s="76"/>
      <c r="I550" s="76">
        <v>9604.1299999999992</v>
      </c>
      <c r="J550" s="76"/>
      <c r="K550" s="76">
        <v>172271.97</v>
      </c>
      <c r="L550" s="76"/>
      <c r="M550" s="76">
        <v>0</v>
      </c>
      <c r="N550" s="76"/>
      <c r="O550" s="76">
        <v>125183.54</v>
      </c>
      <c r="P550" s="76"/>
      <c r="Q550" s="76">
        <v>406376.49</v>
      </c>
      <c r="R550" s="76"/>
      <c r="S550" s="76">
        <v>0</v>
      </c>
      <c r="T550" s="76"/>
      <c r="U550" s="76">
        <v>0</v>
      </c>
      <c r="V550" s="76"/>
      <c r="W550" s="76">
        <v>0</v>
      </c>
      <c r="X550" s="76"/>
      <c r="Y550" s="76">
        <v>301531.21000000002</v>
      </c>
      <c r="Z550" s="76"/>
      <c r="AA550" s="76">
        <v>136136.95000000001</v>
      </c>
      <c r="AB550" s="76"/>
      <c r="AC550" s="76">
        <v>1549.88</v>
      </c>
      <c r="AD550" s="76"/>
      <c r="AE550" s="76">
        <f t="shared" si="56"/>
        <v>2126601.98</v>
      </c>
      <c r="AF550" s="76"/>
      <c r="AG550" s="76">
        <v>-69920.67</v>
      </c>
      <c r="AH550" s="76"/>
      <c r="AI550" s="76">
        <v>468582.84</v>
      </c>
      <c r="AJ550" s="76"/>
      <c r="AK550" s="76">
        <v>398662.17</v>
      </c>
      <c r="AL550" s="24">
        <f>+'Gen Rev'!AI550-'Gen Exp'!AE550+'Gen Exp'!AI550-AK550</f>
        <v>0</v>
      </c>
      <c r="AM550" s="41" t="str">
        <f>'Gen Rev'!A550</f>
        <v>Reminderville</v>
      </c>
      <c r="AN550" s="21" t="str">
        <f t="shared" si="57"/>
        <v>Reminderville</v>
      </c>
      <c r="AO550" s="21" t="b">
        <f t="shared" si="58"/>
        <v>1</v>
      </c>
    </row>
    <row r="551" spans="1:41" ht="12" customHeight="1" x14ac:dyDescent="0.2">
      <c r="A551" s="1" t="s">
        <v>969</v>
      </c>
      <c r="C551" s="1" t="s">
        <v>500</v>
      </c>
      <c r="D551" s="23"/>
      <c r="E551" s="76">
        <v>2141.5700000000002</v>
      </c>
      <c r="F551" s="76"/>
      <c r="G551" s="76">
        <v>0</v>
      </c>
      <c r="H551" s="76"/>
      <c r="I551" s="76">
        <v>0</v>
      </c>
      <c r="J551" s="76"/>
      <c r="K551" s="76">
        <v>0</v>
      </c>
      <c r="L551" s="76"/>
      <c r="M551" s="76">
        <v>0</v>
      </c>
      <c r="N551" s="76"/>
      <c r="O551" s="76">
        <v>0</v>
      </c>
      <c r="P551" s="76"/>
      <c r="Q551" s="76">
        <v>16659.62</v>
      </c>
      <c r="R551" s="76"/>
      <c r="S551" s="76">
        <v>0</v>
      </c>
      <c r="T551" s="76"/>
      <c r="U551" s="76">
        <v>0</v>
      </c>
      <c r="V551" s="76"/>
      <c r="W551" s="76">
        <v>0</v>
      </c>
      <c r="X551" s="76"/>
      <c r="Y551" s="76">
        <v>0</v>
      </c>
      <c r="Z551" s="76"/>
      <c r="AA551" s="76">
        <v>0</v>
      </c>
      <c r="AB551" s="76"/>
      <c r="AC551" s="76">
        <v>0</v>
      </c>
      <c r="AD551" s="76"/>
      <c r="AE551" s="76">
        <f t="shared" si="56"/>
        <v>18801.189999999999</v>
      </c>
      <c r="AF551" s="76"/>
      <c r="AG551" s="76">
        <v>-5480.37</v>
      </c>
      <c r="AH551" s="76"/>
      <c r="AI551" s="76">
        <v>2367.21</v>
      </c>
      <c r="AJ551" s="76"/>
      <c r="AK551" s="76">
        <v>-3113.16</v>
      </c>
      <c r="AL551" s="24">
        <f>+'Gen Rev'!AI551-'Gen Exp'!AE551+'Gen Exp'!AI551-AK551</f>
        <v>0</v>
      </c>
      <c r="AM551" s="41" t="str">
        <f>'Gen Rev'!A551</f>
        <v>Rendville</v>
      </c>
      <c r="AN551" s="21" t="str">
        <f t="shared" si="57"/>
        <v>Rendville</v>
      </c>
      <c r="AO551" s="21" t="b">
        <f t="shared" si="58"/>
        <v>1</v>
      </c>
    </row>
    <row r="552" spans="1:41" s="21" customFormat="1" ht="12" customHeight="1" x14ac:dyDescent="0.2">
      <c r="A552" s="1" t="s">
        <v>534</v>
      </c>
      <c r="B552" s="1"/>
      <c r="C552" s="1" t="s">
        <v>532</v>
      </c>
      <c r="D552" s="23"/>
      <c r="E552" s="76">
        <v>62474.99</v>
      </c>
      <c r="F552" s="76"/>
      <c r="G552" s="76">
        <v>0</v>
      </c>
      <c r="H552" s="76"/>
      <c r="I552" s="76">
        <v>0</v>
      </c>
      <c r="J552" s="76"/>
      <c r="K552" s="76">
        <v>481.55</v>
      </c>
      <c r="L552" s="76"/>
      <c r="M552" s="76">
        <v>0</v>
      </c>
      <c r="N552" s="76"/>
      <c r="O552" s="76">
        <v>0</v>
      </c>
      <c r="P552" s="76"/>
      <c r="Q552" s="76">
        <v>33540.06</v>
      </c>
      <c r="R552" s="76"/>
      <c r="S552" s="76">
        <v>0</v>
      </c>
      <c r="T552" s="76"/>
      <c r="U552" s="76">
        <v>0</v>
      </c>
      <c r="V552" s="76"/>
      <c r="W552" s="76">
        <v>0</v>
      </c>
      <c r="X552" s="76"/>
      <c r="Y552" s="76">
        <v>34316.68</v>
      </c>
      <c r="Z552" s="76"/>
      <c r="AA552" s="76">
        <v>0</v>
      </c>
      <c r="AB552" s="76"/>
      <c r="AC552" s="76">
        <v>0</v>
      </c>
      <c r="AD552" s="76"/>
      <c r="AE552" s="76">
        <f t="shared" si="56"/>
        <v>130813.28</v>
      </c>
      <c r="AF552" s="76"/>
      <c r="AG552" s="76">
        <v>-21095.75</v>
      </c>
      <c r="AH552" s="76"/>
      <c r="AI552" s="76">
        <v>75030.820000000007</v>
      </c>
      <c r="AJ552" s="76"/>
      <c r="AK552" s="76">
        <v>53935.07</v>
      </c>
      <c r="AL552" s="24">
        <f>+'Gen Rev'!AI552-'Gen Exp'!AE552+'Gen Exp'!AI552-AK552</f>
        <v>0</v>
      </c>
      <c r="AM552" s="41" t="str">
        <f>'Gen Rev'!A552</f>
        <v>Republic</v>
      </c>
      <c r="AN552" s="21" t="str">
        <f t="shared" si="57"/>
        <v>Republic</v>
      </c>
      <c r="AO552" s="21" t="b">
        <f t="shared" si="58"/>
        <v>1</v>
      </c>
    </row>
    <row r="553" spans="1:41" s="21" customFormat="1" ht="12" customHeight="1" x14ac:dyDescent="0.2">
      <c r="A553" s="1" t="s">
        <v>553</v>
      </c>
      <c r="B553" s="1"/>
      <c r="C553" s="1" t="s">
        <v>549</v>
      </c>
      <c r="D553" s="1"/>
      <c r="E553" s="76">
        <v>4172417</v>
      </c>
      <c r="F553" s="76"/>
      <c r="G553" s="76">
        <v>70549</v>
      </c>
      <c r="H553" s="76"/>
      <c r="I553" s="76">
        <v>83445</v>
      </c>
      <c r="J553" s="76"/>
      <c r="K553" s="76">
        <v>172404</v>
      </c>
      <c r="L553" s="76"/>
      <c r="M553" s="76">
        <v>250055</v>
      </c>
      <c r="N553" s="76"/>
      <c r="O553" s="76">
        <v>0</v>
      </c>
      <c r="P553" s="76"/>
      <c r="Q553" s="76">
        <v>776547</v>
      </c>
      <c r="R553" s="76"/>
      <c r="S553" s="76">
        <v>0</v>
      </c>
      <c r="T553" s="76"/>
      <c r="U553" s="76">
        <v>0</v>
      </c>
      <c r="V553" s="76"/>
      <c r="W553" s="76">
        <v>0</v>
      </c>
      <c r="X553" s="76"/>
      <c r="Y553" s="76">
        <v>53107</v>
      </c>
      <c r="Z553" s="76"/>
      <c r="AA553" s="76">
        <v>0</v>
      </c>
      <c r="AB553" s="76"/>
      <c r="AC553" s="76">
        <v>0</v>
      </c>
      <c r="AD553" s="76"/>
      <c r="AE553" s="76">
        <f t="shared" si="56"/>
        <v>5578524</v>
      </c>
      <c r="AF553" s="76"/>
      <c r="AG553" s="76">
        <v>-296508</v>
      </c>
      <c r="AH553" s="76"/>
      <c r="AI553" s="76">
        <v>792512</v>
      </c>
      <c r="AJ553" s="76"/>
      <c r="AK553" s="76">
        <v>496004</v>
      </c>
      <c r="AL553" s="24">
        <f>+'Gen Rev'!AI553-'Gen Exp'!AE553+'Gen Exp'!AI553-AK553</f>
        <v>0</v>
      </c>
      <c r="AM553" s="41" t="str">
        <f>'Gen Rev'!A553</f>
        <v>Richfield</v>
      </c>
      <c r="AN553" s="21" t="str">
        <f t="shared" si="57"/>
        <v>Richfield</v>
      </c>
      <c r="AO553" s="21" t="b">
        <f t="shared" si="58"/>
        <v>1</v>
      </c>
    </row>
    <row r="554" spans="1:41" ht="12" customHeight="1" x14ac:dyDescent="0.2">
      <c r="A554" s="1" t="s">
        <v>119</v>
      </c>
      <c r="C554" s="1" t="s">
        <v>770</v>
      </c>
      <c r="E554" s="76">
        <v>7778.03</v>
      </c>
      <c r="F554" s="76"/>
      <c r="G554" s="76">
        <v>0</v>
      </c>
      <c r="H554" s="76"/>
      <c r="I554" s="76">
        <v>13100.48</v>
      </c>
      <c r="J554" s="76"/>
      <c r="K554" s="76">
        <v>1000</v>
      </c>
      <c r="L554" s="76"/>
      <c r="M554" s="76">
        <v>0</v>
      </c>
      <c r="N554" s="76"/>
      <c r="O554" s="76">
        <v>14438.5</v>
      </c>
      <c r="P554" s="76"/>
      <c r="Q554" s="76">
        <v>34453.74</v>
      </c>
      <c r="R554" s="76"/>
      <c r="S554" s="76">
        <v>0</v>
      </c>
      <c r="T554" s="76"/>
      <c r="U554" s="76">
        <v>0</v>
      </c>
      <c r="V554" s="76"/>
      <c r="W554" s="76">
        <v>0</v>
      </c>
      <c r="X554" s="76"/>
      <c r="Y554" s="76">
        <v>42222.45</v>
      </c>
      <c r="Z554" s="76"/>
      <c r="AA554" s="76">
        <v>0</v>
      </c>
      <c r="AB554" s="76"/>
      <c r="AC554" s="76">
        <v>6192.55</v>
      </c>
      <c r="AD554" s="76"/>
      <c r="AE554" s="76">
        <f t="shared" si="56"/>
        <v>119185.75</v>
      </c>
      <c r="AF554" s="76"/>
      <c r="AG554" s="76">
        <v>-71732.37</v>
      </c>
      <c r="AH554" s="76"/>
      <c r="AI554" s="76">
        <v>127158.66</v>
      </c>
      <c r="AJ554" s="76"/>
      <c r="AK554" s="76">
        <v>55426.29</v>
      </c>
      <c r="AL554" s="24">
        <f>+'Gen Rev'!AI554-'Gen Exp'!AE554+'Gen Exp'!AI554-AK554</f>
        <v>0</v>
      </c>
      <c r="AM554" s="41" t="str">
        <f>'Gen Rev'!A554</f>
        <v>Richmond</v>
      </c>
      <c r="AN554" s="21" t="str">
        <f t="shared" si="57"/>
        <v>Richmond</v>
      </c>
      <c r="AO554" s="21" t="b">
        <f t="shared" si="58"/>
        <v>1</v>
      </c>
    </row>
    <row r="555" spans="1:41" ht="12" customHeight="1" x14ac:dyDescent="0.2">
      <c r="A555" s="1" t="s">
        <v>238</v>
      </c>
      <c r="C555" s="1" t="s">
        <v>807</v>
      </c>
      <c r="D555" s="23"/>
      <c r="E555" s="76">
        <v>534724</v>
      </c>
      <c r="F555" s="76"/>
      <c r="G555" s="76">
        <v>0</v>
      </c>
      <c r="H555" s="76"/>
      <c r="I555" s="76">
        <v>0</v>
      </c>
      <c r="J555" s="76"/>
      <c r="K555" s="76">
        <v>0</v>
      </c>
      <c r="L555" s="76"/>
      <c r="M555" s="76">
        <v>0</v>
      </c>
      <c r="N555" s="76"/>
      <c r="O555" s="76">
        <v>0</v>
      </c>
      <c r="P555" s="76"/>
      <c r="Q555" s="76">
        <v>93012</v>
      </c>
      <c r="R555" s="76"/>
      <c r="S555" s="76">
        <v>0</v>
      </c>
      <c r="T555" s="76"/>
      <c r="U555" s="76">
        <v>0</v>
      </c>
      <c r="V555" s="76"/>
      <c r="W555" s="76">
        <v>0</v>
      </c>
      <c r="X555" s="76"/>
      <c r="Y555" s="76">
        <v>0</v>
      </c>
      <c r="Z555" s="76"/>
      <c r="AA555" s="76">
        <v>0</v>
      </c>
      <c r="AB555" s="76"/>
      <c r="AC555" s="76">
        <v>0</v>
      </c>
      <c r="AD555" s="76"/>
      <c r="AE555" s="76">
        <f t="shared" si="56"/>
        <v>627736</v>
      </c>
      <c r="AF555" s="76"/>
      <c r="AG555" s="76">
        <v>37084</v>
      </c>
      <c r="AH555" s="76"/>
      <c r="AI555" s="76">
        <v>585953</v>
      </c>
      <c r="AJ555" s="76"/>
      <c r="AK555" s="76">
        <v>623037</v>
      </c>
      <c r="AL555" s="24">
        <f>+'Gen Rev'!AI555-'Gen Exp'!AE555+'Gen Exp'!AI555-AK555</f>
        <v>0</v>
      </c>
      <c r="AM555" s="41" t="str">
        <f>'Gen Rev'!A555</f>
        <v>Richwood</v>
      </c>
      <c r="AN555" s="21" t="str">
        <f t="shared" si="57"/>
        <v>Richwood</v>
      </c>
      <c r="AO555" s="21" t="b">
        <f t="shared" si="58"/>
        <v>1</v>
      </c>
    </row>
    <row r="556" spans="1:41" s="15" customFormat="1" ht="12" customHeight="1" x14ac:dyDescent="0.2">
      <c r="A556" s="10" t="s">
        <v>401</v>
      </c>
      <c r="B556" s="10"/>
      <c r="C556" s="10" t="s">
        <v>396</v>
      </c>
      <c r="D556" s="23"/>
      <c r="E556" s="76">
        <v>13453.4</v>
      </c>
      <c r="F556" s="76"/>
      <c r="G556" s="76">
        <v>5205</v>
      </c>
      <c r="H556" s="76"/>
      <c r="I556" s="76">
        <v>0</v>
      </c>
      <c r="J556" s="76"/>
      <c r="K556" s="76">
        <v>0</v>
      </c>
      <c r="L556" s="76"/>
      <c r="M556" s="76">
        <v>1652.81</v>
      </c>
      <c r="N556" s="76"/>
      <c r="O556" s="76">
        <v>0</v>
      </c>
      <c r="P556" s="76"/>
      <c r="Q556" s="76">
        <v>21617.06</v>
      </c>
      <c r="R556" s="76"/>
      <c r="S556" s="76">
        <v>0</v>
      </c>
      <c r="T556" s="76"/>
      <c r="U556" s="76">
        <v>0</v>
      </c>
      <c r="V556" s="76"/>
      <c r="W556" s="76">
        <v>3389.23</v>
      </c>
      <c r="X556" s="76"/>
      <c r="Y556" s="76">
        <v>1500</v>
      </c>
      <c r="Z556" s="76"/>
      <c r="AA556" s="76">
        <v>0</v>
      </c>
      <c r="AB556" s="76"/>
      <c r="AC556" s="76">
        <v>0</v>
      </c>
      <c r="AD556" s="76"/>
      <c r="AE556" s="76">
        <f t="shared" si="56"/>
        <v>46817.500000000007</v>
      </c>
      <c r="AF556" s="76"/>
      <c r="AG556" s="76">
        <v>-2326.4</v>
      </c>
      <c r="AH556" s="76"/>
      <c r="AI556" s="76">
        <v>31101.05</v>
      </c>
      <c r="AJ556" s="76"/>
      <c r="AK556" s="76">
        <v>28774.65</v>
      </c>
      <c r="AL556" s="24">
        <f>+'Gen Rev'!AI556-'Gen Exp'!AE556+'Gen Exp'!AI556-AK556</f>
        <v>0</v>
      </c>
      <c r="AM556" s="41" t="str">
        <f>'Gen Rev'!A556</f>
        <v>Ridgeway</v>
      </c>
      <c r="AN556" s="21" t="str">
        <f t="shared" si="57"/>
        <v>Ridgeway</v>
      </c>
      <c r="AO556" s="21" t="b">
        <f t="shared" si="58"/>
        <v>1</v>
      </c>
    </row>
    <row r="557" spans="1:41" ht="12" customHeight="1" x14ac:dyDescent="0.2">
      <c r="A557" s="1" t="s">
        <v>81</v>
      </c>
      <c r="C557" s="1" t="s">
        <v>760</v>
      </c>
      <c r="E557" s="76">
        <v>193903.21</v>
      </c>
      <c r="F557" s="76"/>
      <c r="G557" s="76">
        <v>0</v>
      </c>
      <c r="H557" s="76"/>
      <c r="I557" s="76">
        <v>2318.69</v>
      </c>
      <c r="J557" s="76"/>
      <c r="K557" s="76">
        <v>687.95</v>
      </c>
      <c r="L557" s="76"/>
      <c r="M557" s="76">
        <v>0</v>
      </c>
      <c r="N557" s="76"/>
      <c r="O557" s="76">
        <v>0</v>
      </c>
      <c r="P557" s="76"/>
      <c r="Q557" s="76">
        <v>98830.14</v>
      </c>
      <c r="R557" s="76"/>
      <c r="S557" s="76">
        <v>13216.69</v>
      </c>
      <c r="T557" s="76"/>
      <c r="U557" s="76">
        <v>1253.3399999999999</v>
      </c>
      <c r="V557" s="76"/>
      <c r="W557" s="76">
        <v>0</v>
      </c>
      <c r="X557" s="76"/>
      <c r="Y557" s="76">
        <v>0</v>
      </c>
      <c r="Z557" s="76"/>
      <c r="AA557" s="76">
        <v>0</v>
      </c>
      <c r="AB557" s="76"/>
      <c r="AC557" s="76">
        <v>0</v>
      </c>
      <c r="AD557" s="76"/>
      <c r="AE557" s="76">
        <f t="shared" si="56"/>
        <v>310210.02</v>
      </c>
      <c r="AF557" s="76"/>
      <c r="AG557" s="76">
        <v>-21110.86</v>
      </c>
      <c r="AH557" s="76"/>
      <c r="AI557" s="76">
        <v>47475.42</v>
      </c>
      <c r="AJ557" s="76"/>
      <c r="AK557" s="76">
        <v>26364.560000000001</v>
      </c>
      <c r="AL557" s="24">
        <f>+'Gen Rev'!AI557-'Gen Exp'!AE557+'Gen Exp'!AI557-AK557</f>
        <v>-4.7293724492192268E-11</v>
      </c>
      <c r="AM557" s="41" t="str">
        <f>'Gen Rev'!A557</f>
        <v>Rio Grande</v>
      </c>
      <c r="AN557" s="21" t="str">
        <f t="shared" si="57"/>
        <v>Rio Grande</v>
      </c>
      <c r="AO557" s="21" t="b">
        <f t="shared" si="58"/>
        <v>1</v>
      </c>
    </row>
    <row r="558" spans="1:41" ht="12" customHeight="1" x14ac:dyDescent="0.2">
      <c r="A558" s="1" t="s">
        <v>284</v>
      </c>
      <c r="C558" s="1" t="s">
        <v>283</v>
      </c>
      <c r="D558" s="23"/>
      <c r="E558" s="76">
        <v>298721.86</v>
      </c>
      <c r="F558" s="76"/>
      <c r="G558" s="76">
        <v>4178</v>
      </c>
      <c r="H558" s="76"/>
      <c r="I558" s="76">
        <v>0</v>
      </c>
      <c r="J558" s="76"/>
      <c r="K558" s="76">
        <v>0</v>
      </c>
      <c r="L558" s="76"/>
      <c r="M558" s="76">
        <v>0</v>
      </c>
      <c r="N558" s="76"/>
      <c r="O558" s="76">
        <v>37481.64</v>
      </c>
      <c r="P558" s="76"/>
      <c r="Q558" s="76">
        <v>100333.46</v>
      </c>
      <c r="R558" s="76"/>
      <c r="S558" s="76">
        <v>101965.86</v>
      </c>
      <c r="T558" s="76"/>
      <c r="U558" s="76">
        <v>0</v>
      </c>
      <c r="V558" s="76"/>
      <c r="W558" s="76">
        <v>0</v>
      </c>
      <c r="X558" s="76"/>
      <c r="Y558" s="76">
        <v>57.49</v>
      </c>
      <c r="Z558" s="76"/>
      <c r="AA558" s="76">
        <v>0</v>
      </c>
      <c r="AB558" s="76"/>
      <c r="AC558" s="76">
        <v>0</v>
      </c>
      <c r="AD558" s="76"/>
      <c r="AE558" s="76">
        <f t="shared" si="56"/>
        <v>542738.31000000006</v>
      </c>
      <c r="AF558" s="76"/>
      <c r="AG558" s="76">
        <v>-139775.15</v>
      </c>
      <c r="AH558" s="76"/>
      <c r="AI558" s="76">
        <v>332898.26</v>
      </c>
      <c r="AJ558" s="76"/>
      <c r="AK558" s="76">
        <v>193123.11</v>
      </c>
      <c r="AL558" s="24">
        <f>+'Gen Rev'!AI558-'Gen Exp'!AE558+'Gen Exp'!AI558-AK558</f>
        <v>0</v>
      </c>
      <c r="AM558" s="41" t="str">
        <f>'Gen Rev'!A558</f>
        <v>Ripley</v>
      </c>
      <c r="AN558" s="21" t="str">
        <f t="shared" si="57"/>
        <v>Ripley</v>
      </c>
      <c r="AO558" s="21" t="b">
        <f t="shared" si="58"/>
        <v>1</v>
      </c>
    </row>
    <row r="559" spans="1:41" s="21" customFormat="1" ht="12" customHeight="1" x14ac:dyDescent="0.2">
      <c r="A559" s="1" t="s">
        <v>260</v>
      </c>
      <c r="B559" s="1"/>
      <c r="C559" s="1" t="s">
        <v>813</v>
      </c>
      <c r="D559" s="23"/>
      <c r="E559" s="76">
        <v>35370.44</v>
      </c>
      <c r="F559" s="76"/>
      <c r="G559" s="76">
        <v>303</v>
      </c>
      <c r="H559" s="76"/>
      <c r="I559" s="76">
        <v>0</v>
      </c>
      <c r="J559" s="76"/>
      <c r="K559" s="76">
        <v>0</v>
      </c>
      <c r="L559" s="76"/>
      <c r="M559" s="76">
        <v>1629.28</v>
      </c>
      <c r="N559" s="76"/>
      <c r="O559" s="76">
        <v>315.27</v>
      </c>
      <c r="P559" s="76"/>
      <c r="Q559" s="76">
        <v>41076.449999999997</v>
      </c>
      <c r="R559" s="76"/>
      <c r="S559" s="76">
        <v>39113</v>
      </c>
      <c r="T559" s="76"/>
      <c r="U559" s="76">
        <v>955.02</v>
      </c>
      <c r="V559" s="76"/>
      <c r="W559" s="76">
        <v>761.32</v>
      </c>
      <c r="X559" s="76"/>
      <c r="Y559" s="76">
        <v>16230</v>
      </c>
      <c r="Z559" s="76"/>
      <c r="AA559" s="76">
        <v>0</v>
      </c>
      <c r="AB559" s="76"/>
      <c r="AC559" s="76">
        <v>3309.69</v>
      </c>
      <c r="AD559" s="76"/>
      <c r="AE559" s="76">
        <f t="shared" si="56"/>
        <v>139063.47000000003</v>
      </c>
      <c r="AF559" s="76"/>
      <c r="AG559" s="76">
        <v>-15226.59</v>
      </c>
      <c r="AH559" s="76"/>
      <c r="AI559" s="76">
        <v>18513.169999999998</v>
      </c>
      <c r="AJ559" s="76"/>
      <c r="AK559" s="76">
        <v>3286.58</v>
      </c>
      <c r="AL559" s="24">
        <f>+'Gen Rev'!AI559-'Gen Exp'!AE559+'Gen Exp'!AI559-AK559</f>
        <v>-2.7284841053187847E-11</v>
      </c>
      <c r="AM559" s="41" t="str">
        <f>'Gen Rev'!A559</f>
        <v>Risingsun</v>
      </c>
      <c r="AN559" s="21" t="str">
        <f t="shared" si="57"/>
        <v>Risingsun</v>
      </c>
      <c r="AO559" s="21" t="b">
        <f t="shared" si="58"/>
        <v>1</v>
      </c>
    </row>
    <row r="560" spans="1:41" s="21" customFormat="1" ht="12" customHeight="1" x14ac:dyDescent="0.2">
      <c r="A560" s="1" t="s">
        <v>356</v>
      </c>
      <c r="B560" s="1"/>
      <c r="C560" s="1" t="s">
        <v>353</v>
      </c>
      <c r="D560" s="1"/>
      <c r="E560" s="76">
        <v>65008</v>
      </c>
      <c r="F560" s="76"/>
      <c r="G560" s="76">
        <v>4814</v>
      </c>
      <c r="H560" s="76"/>
      <c r="I560" s="76">
        <v>5147</v>
      </c>
      <c r="J560" s="76"/>
      <c r="K560" s="76">
        <v>3698</v>
      </c>
      <c r="L560" s="76"/>
      <c r="M560" s="76">
        <v>120854</v>
      </c>
      <c r="N560" s="76"/>
      <c r="O560" s="76">
        <v>4205</v>
      </c>
      <c r="P560" s="76"/>
      <c r="Q560" s="76">
        <v>51837</v>
      </c>
      <c r="R560" s="76"/>
      <c r="S560" s="76">
        <v>0</v>
      </c>
      <c r="T560" s="76"/>
      <c r="U560" s="76">
        <v>0</v>
      </c>
      <c r="V560" s="76"/>
      <c r="W560" s="76">
        <v>0</v>
      </c>
      <c r="X560" s="76"/>
      <c r="Y560" s="76">
        <v>0</v>
      </c>
      <c r="Z560" s="76"/>
      <c r="AA560" s="76">
        <v>0</v>
      </c>
      <c r="AB560" s="76"/>
      <c r="AC560" s="76">
        <v>0</v>
      </c>
      <c r="AD560" s="76"/>
      <c r="AE560" s="76">
        <f t="shared" si="56"/>
        <v>255563</v>
      </c>
      <c r="AF560" s="76"/>
      <c r="AG560" s="76">
        <v>-751</v>
      </c>
      <c r="AH560" s="76"/>
      <c r="AI560" s="76">
        <v>415677</v>
      </c>
      <c r="AJ560" s="76"/>
      <c r="AK560" s="76">
        <v>414926</v>
      </c>
      <c r="AL560" s="24">
        <f>+'Gen Rev'!AI560-'Gen Exp'!AE560+'Gen Exp'!AI560-AK560</f>
        <v>0</v>
      </c>
      <c r="AM560" s="41" t="str">
        <f>'Gen Rev'!A560</f>
        <v>Riverlea</v>
      </c>
      <c r="AN560" s="21" t="str">
        <f t="shared" si="57"/>
        <v>Riverlea</v>
      </c>
      <c r="AO560" s="21" t="b">
        <f t="shared" si="58"/>
        <v>1</v>
      </c>
    </row>
    <row r="561" spans="1:41" s="21" customFormat="1" ht="12" customHeight="1" x14ac:dyDescent="0.2">
      <c r="A561" s="1" t="s">
        <v>670</v>
      </c>
      <c r="B561" s="1"/>
      <c r="C561" s="1" t="s">
        <v>671</v>
      </c>
      <c r="D561" s="23"/>
      <c r="E561" s="76">
        <v>28083</v>
      </c>
      <c r="F561" s="76"/>
      <c r="G561" s="76">
        <v>30000</v>
      </c>
      <c r="H561" s="76"/>
      <c r="I561" s="76">
        <v>0</v>
      </c>
      <c r="J561" s="76"/>
      <c r="K561" s="76">
        <v>6812</v>
      </c>
      <c r="L561" s="76"/>
      <c r="M561" s="76">
        <v>0</v>
      </c>
      <c r="N561" s="76"/>
      <c r="O561" s="76">
        <v>0</v>
      </c>
      <c r="P561" s="76"/>
      <c r="Q561" s="76">
        <v>86586</v>
      </c>
      <c r="R561" s="76"/>
      <c r="S561" s="76">
        <v>0</v>
      </c>
      <c r="T561" s="76"/>
      <c r="U561" s="76">
        <v>16480</v>
      </c>
      <c r="V561" s="76"/>
      <c r="W561" s="76">
        <v>0</v>
      </c>
      <c r="X561" s="76"/>
      <c r="Y561" s="76">
        <v>30000</v>
      </c>
      <c r="Z561" s="76"/>
      <c r="AA561" s="76">
        <v>0</v>
      </c>
      <c r="AB561" s="76"/>
      <c r="AC561" s="76">
        <v>4695</v>
      </c>
      <c r="AD561" s="76"/>
      <c r="AE561" s="76">
        <f t="shared" si="56"/>
        <v>202656</v>
      </c>
      <c r="AF561" s="76"/>
      <c r="AG561" s="76">
        <v>-31044</v>
      </c>
      <c r="AH561" s="76"/>
      <c r="AI561" s="76">
        <v>65104</v>
      </c>
      <c r="AJ561" s="76"/>
      <c r="AK561" s="76">
        <v>34059</v>
      </c>
      <c r="AL561" s="24">
        <f>+'Gen Rev'!AI561-'Gen Exp'!AE561+'Gen Exp'!AI561-AK561</f>
        <v>0</v>
      </c>
      <c r="AM561" s="41" t="str">
        <f>'Gen Rev'!A561</f>
        <v>Roaming Shores</v>
      </c>
      <c r="AN561" s="21" t="str">
        <f t="shared" si="57"/>
        <v>Roaming Shores</v>
      </c>
      <c r="AO561" s="21" t="b">
        <f t="shared" si="58"/>
        <v>1</v>
      </c>
    </row>
    <row r="562" spans="1:41" s="21" customFormat="1" ht="12" customHeight="1" x14ac:dyDescent="0.2">
      <c r="A562" s="1" t="s">
        <v>138</v>
      </c>
      <c r="B562" s="1"/>
      <c r="C562" s="1" t="s">
        <v>776</v>
      </c>
      <c r="D562" s="1"/>
      <c r="E562" s="76">
        <v>0</v>
      </c>
      <c r="F562" s="76"/>
      <c r="G562" s="76">
        <v>357.84</v>
      </c>
      <c r="H562" s="76"/>
      <c r="I562" s="76">
        <v>2892.98</v>
      </c>
      <c r="J562" s="76"/>
      <c r="K562" s="76">
        <v>1018.53</v>
      </c>
      <c r="L562" s="76"/>
      <c r="M562" s="76">
        <v>401</v>
      </c>
      <c r="N562" s="76"/>
      <c r="O562" s="76">
        <v>0</v>
      </c>
      <c r="P562" s="76"/>
      <c r="Q562" s="76">
        <v>18361.240000000002</v>
      </c>
      <c r="R562" s="76"/>
      <c r="S562" s="76">
        <v>0</v>
      </c>
      <c r="T562" s="76"/>
      <c r="U562" s="76">
        <v>0</v>
      </c>
      <c r="V562" s="76"/>
      <c r="W562" s="76">
        <v>0</v>
      </c>
      <c r="X562" s="76"/>
      <c r="Y562" s="76">
        <v>0</v>
      </c>
      <c r="Z562" s="76"/>
      <c r="AA562" s="76">
        <v>0</v>
      </c>
      <c r="AB562" s="76"/>
      <c r="AC562" s="76">
        <v>0</v>
      </c>
      <c r="AD562" s="76"/>
      <c r="AE562" s="76">
        <f t="shared" si="56"/>
        <v>23031.590000000004</v>
      </c>
      <c r="AF562" s="76"/>
      <c r="AG562" s="76">
        <v>5043.87</v>
      </c>
      <c r="AH562" s="76"/>
      <c r="AI562" s="76">
        <v>155714.54</v>
      </c>
      <c r="AJ562" s="76"/>
      <c r="AK562" s="76">
        <v>160758.41</v>
      </c>
      <c r="AL562" s="24">
        <f>+'Gen Rev'!AI562-'Gen Exp'!AE562+'Gen Exp'!AI562-AK562</f>
        <v>0</v>
      </c>
      <c r="AM562" s="41" t="str">
        <f>'Gen Rev'!A562</f>
        <v>Rochester</v>
      </c>
      <c r="AN562" s="21" t="str">
        <f t="shared" si="57"/>
        <v>Rochester</v>
      </c>
      <c r="AO562" s="21" t="b">
        <f t="shared" si="58"/>
        <v>1</v>
      </c>
    </row>
    <row r="563" spans="1:41" s="21" customFormat="1" ht="12" customHeight="1" x14ac:dyDescent="0.2">
      <c r="A563" s="1" t="s">
        <v>672</v>
      </c>
      <c r="B563" s="1"/>
      <c r="C563" s="1" t="s">
        <v>671</v>
      </c>
      <c r="D563" s="10"/>
      <c r="E563" s="76">
        <v>21100</v>
      </c>
      <c r="F563" s="76"/>
      <c r="G563" s="76">
        <v>0</v>
      </c>
      <c r="H563" s="76"/>
      <c r="I563" s="76">
        <v>0</v>
      </c>
      <c r="J563" s="76"/>
      <c r="K563" s="76">
        <v>0</v>
      </c>
      <c r="L563" s="76"/>
      <c r="M563" s="76">
        <v>1676.06</v>
      </c>
      <c r="N563" s="76"/>
      <c r="O563" s="76">
        <v>0</v>
      </c>
      <c r="P563" s="76"/>
      <c r="Q563" s="76">
        <v>98544.66</v>
      </c>
      <c r="R563" s="76"/>
      <c r="S563" s="76">
        <v>0</v>
      </c>
      <c r="T563" s="76"/>
      <c r="U563" s="76">
        <v>0</v>
      </c>
      <c r="V563" s="76"/>
      <c r="W563" s="76">
        <v>0</v>
      </c>
      <c r="X563" s="76"/>
      <c r="Y563" s="76">
        <v>0</v>
      </c>
      <c r="Z563" s="76"/>
      <c r="AA563" s="76">
        <v>0</v>
      </c>
      <c r="AB563" s="76"/>
      <c r="AC563" s="76">
        <v>0</v>
      </c>
      <c r="AD563" s="76"/>
      <c r="AE563" s="76">
        <f t="shared" si="56"/>
        <v>121320.72</v>
      </c>
      <c r="AF563" s="76"/>
      <c r="AG563" s="76">
        <v>9803.27</v>
      </c>
      <c r="AH563" s="76"/>
      <c r="AI563" s="76">
        <v>64902.71</v>
      </c>
      <c r="AJ563" s="76"/>
      <c r="AK563" s="76">
        <v>74705.98</v>
      </c>
      <c r="AL563" s="24">
        <f>+'Gen Rev'!AI563-'Gen Exp'!AE563+'Gen Exp'!AI563-AK563</f>
        <v>0</v>
      </c>
      <c r="AM563" s="41" t="str">
        <f>'Gen Rev'!A563</f>
        <v>Rock Creek</v>
      </c>
      <c r="AN563" s="21" t="str">
        <f t="shared" si="57"/>
        <v>Rock Creek</v>
      </c>
      <c r="AO563" s="21" t="b">
        <f t="shared" si="58"/>
        <v>1</v>
      </c>
    </row>
    <row r="564" spans="1:41" s="21" customFormat="1" ht="12" customHeight="1" x14ac:dyDescent="0.2">
      <c r="A564" s="1" t="s">
        <v>468</v>
      </c>
      <c r="B564" s="1"/>
      <c r="C564" s="1" t="s">
        <v>466</v>
      </c>
      <c r="D564" s="23"/>
      <c r="E564" s="76">
        <v>175339.68</v>
      </c>
      <c r="F564" s="76"/>
      <c r="G564" s="76">
        <v>0</v>
      </c>
      <c r="H564" s="76"/>
      <c r="I564" s="76">
        <v>7198.91</v>
      </c>
      <c r="J564" s="76"/>
      <c r="K564" s="76">
        <v>250</v>
      </c>
      <c r="L564" s="76"/>
      <c r="M564" s="76">
        <v>5991.5</v>
      </c>
      <c r="N564" s="76"/>
      <c r="O564" s="76">
        <v>79189.09</v>
      </c>
      <c r="P564" s="76"/>
      <c r="Q564" s="76">
        <v>91784.43</v>
      </c>
      <c r="R564" s="76"/>
      <c r="S564" s="76">
        <v>0</v>
      </c>
      <c r="T564" s="76"/>
      <c r="U564" s="76">
        <v>0</v>
      </c>
      <c r="V564" s="76"/>
      <c r="W564" s="76">
        <v>0</v>
      </c>
      <c r="X564" s="76"/>
      <c r="Y564" s="76">
        <v>8800</v>
      </c>
      <c r="Z564" s="76"/>
      <c r="AA564" s="76">
        <v>8578.34</v>
      </c>
      <c r="AB564" s="76"/>
      <c r="AC564" s="76">
        <v>0</v>
      </c>
      <c r="AD564" s="76"/>
      <c r="AE564" s="76">
        <f t="shared" si="56"/>
        <v>377131.95</v>
      </c>
      <c r="AF564" s="76"/>
      <c r="AG564" s="76">
        <v>-11391.11</v>
      </c>
      <c r="AH564" s="76"/>
      <c r="AI564" s="76">
        <v>123094.89</v>
      </c>
      <c r="AJ564" s="76"/>
      <c r="AK564" s="76">
        <v>111703.78</v>
      </c>
      <c r="AL564" s="24">
        <f>+'Gen Rev'!AI564-'Gen Exp'!AE564+'Gen Exp'!AI564-AK564</f>
        <v>0</v>
      </c>
      <c r="AM564" s="41" t="str">
        <f>'Gen Rev'!A564</f>
        <v>Rockford</v>
      </c>
      <c r="AN564" s="21" t="str">
        <f t="shared" si="57"/>
        <v>Rockford</v>
      </c>
      <c r="AO564" s="21" t="b">
        <f t="shared" si="58"/>
        <v>1</v>
      </c>
    </row>
    <row r="565" spans="1:41" s="21" customFormat="1" ht="12" customHeight="1" x14ac:dyDescent="0.2">
      <c r="A565" s="1" t="s">
        <v>818</v>
      </c>
      <c r="B565" s="1"/>
      <c r="C565" s="1" t="s">
        <v>207</v>
      </c>
      <c r="D565" s="23"/>
      <c r="E565" s="76">
        <v>7279.59</v>
      </c>
      <c r="F565" s="76"/>
      <c r="G565" s="76">
        <v>899.98</v>
      </c>
      <c r="H565" s="76"/>
      <c r="I565" s="76">
        <v>172.97</v>
      </c>
      <c r="J565" s="76"/>
      <c r="K565" s="76">
        <v>0</v>
      </c>
      <c r="L565" s="76"/>
      <c r="M565" s="76">
        <v>1660</v>
      </c>
      <c r="N565" s="76"/>
      <c r="O565" s="76">
        <v>0</v>
      </c>
      <c r="P565" s="76"/>
      <c r="Q565" s="76">
        <v>30844.62</v>
      </c>
      <c r="R565" s="76"/>
      <c r="S565" s="76">
        <v>0</v>
      </c>
      <c r="T565" s="76"/>
      <c r="U565" s="76">
        <v>0</v>
      </c>
      <c r="V565" s="76"/>
      <c r="W565" s="76">
        <v>0</v>
      </c>
      <c r="X565" s="76"/>
      <c r="Y565" s="76">
        <v>4000</v>
      </c>
      <c r="Z565" s="76"/>
      <c r="AA565" s="76">
        <v>0</v>
      </c>
      <c r="AB565" s="76"/>
      <c r="AC565" s="76">
        <v>0</v>
      </c>
      <c r="AD565" s="76"/>
      <c r="AE565" s="76">
        <f t="shared" si="56"/>
        <v>44857.159999999996</v>
      </c>
      <c r="AF565" s="76"/>
      <c r="AG565" s="76">
        <v>-13463.49</v>
      </c>
      <c r="AH565" s="76"/>
      <c r="AI565" s="76">
        <v>17766.04</v>
      </c>
      <c r="AJ565" s="76"/>
      <c r="AK565" s="76">
        <v>4302.55</v>
      </c>
      <c r="AL565" s="24">
        <f>+'Gen Rev'!AI565-'Gen Exp'!AE565+'Gen Exp'!AI565-AK565</f>
        <v>0</v>
      </c>
      <c r="AM565" s="41" t="str">
        <f>'Gen Rev'!A565</f>
        <v>Rocky Ridge</v>
      </c>
      <c r="AN565" s="21" t="str">
        <f t="shared" si="57"/>
        <v>Rocky Ridge</v>
      </c>
      <c r="AO565" s="21" t="b">
        <f t="shared" si="58"/>
        <v>1</v>
      </c>
    </row>
    <row r="566" spans="1:41" s="21" customFormat="1" ht="12" customHeight="1" x14ac:dyDescent="0.2">
      <c r="A566" s="1" t="s">
        <v>45</v>
      </c>
      <c r="B566" s="1"/>
      <c r="C566" s="1" t="s">
        <v>749</v>
      </c>
      <c r="D566" s="23"/>
      <c r="E566" s="76">
        <v>12626</v>
      </c>
      <c r="F566" s="76"/>
      <c r="G566" s="76">
        <v>0</v>
      </c>
      <c r="H566" s="76"/>
      <c r="I566" s="76">
        <v>0</v>
      </c>
      <c r="J566" s="76"/>
      <c r="K566" s="76">
        <v>0</v>
      </c>
      <c r="L566" s="76"/>
      <c r="M566" s="76">
        <v>0</v>
      </c>
      <c r="N566" s="76"/>
      <c r="O566" s="76">
        <v>575.51</v>
      </c>
      <c r="P566" s="76"/>
      <c r="Q566" s="76">
        <v>19448.21</v>
      </c>
      <c r="R566" s="76"/>
      <c r="S566" s="76">
        <v>6849.07</v>
      </c>
      <c r="T566" s="76"/>
      <c r="U566" s="76">
        <v>0</v>
      </c>
      <c r="V566" s="76"/>
      <c r="W566" s="76">
        <v>0</v>
      </c>
      <c r="X566" s="76"/>
      <c r="Y566" s="76">
        <v>0</v>
      </c>
      <c r="Z566" s="76"/>
      <c r="AA566" s="76">
        <v>0</v>
      </c>
      <c r="AB566" s="76"/>
      <c r="AC566" s="76">
        <v>0</v>
      </c>
      <c r="AD566" s="76"/>
      <c r="AE566" s="76">
        <f t="shared" si="56"/>
        <v>39498.79</v>
      </c>
      <c r="AF566" s="76"/>
      <c r="AG566" s="76">
        <v>1334.34</v>
      </c>
      <c r="AH566" s="76"/>
      <c r="AI566" s="76">
        <v>3397.71</v>
      </c>
      <c r="AJ566" s="76"/>
      <c r="AK566" s="76">
        <v>4732.05</v>
      </c>
      <c r="AL566" s="24">
        <f>+'Gen Rev'!AI566-'Gen Exp'!AE566+'Gen Exp'!AI566-AK566</f>
        <v>0</v>
      </c>
      <c r="AM566" s="41" t="str">
        <f>'Gen Rev'!A566</f>
        <v>Rogers</v>
      </c>
      <c r="AN566" s="21" t="str">
        <f t="shared" si="57"/>
        <v>Rogers</v>
      </c>
      <c r="AO566" s="21" t="b">
        <f t="shared" si="58"/>
        <v>1</v>
      </c>
    </row>
    <row r="567" spans="1:41" s="21" customFormat="1" ht="12" customHeight="1" x14ac:dyDescent="0.2">
      <c r="A567" s="1" t="s">
        <v>819</v>
      </c>
      <c r="B567" s="1"/>
      <c r="C567" s="1" t="s">
        <v>659</v>
      </c>
      <c r="D567" s="23"/>
      <c r="E567" s="76">
        <v>2290</v>
      </c>
      <c r="F567" s="76"/>
      <c r="G567" s="76">
        <v>500</v>
      </c>
      <c r="H567" s="76"/>
      <c r="I567" s="76">
        <v>750</v>
      </c>
      <c r="J567" s="76"/>
      <c r="K567" s="76">
        <v>347</v>
      </c>
      <c r="L567" s="76"/>
      <c r="M567" s="76">
        <v>0</v>
      </c>
      <c r="N567" s="76"/>
      <c r="O567" s="76">
        <v>0</v>
      </c>
      <c r="P567" s="76"/>
      <c r="Q567" s="76">
        <v>3682</v>
      </c>
      <c r="R567" s="76"/>
      <c r="S567" s="76">
        <v>0</v>
      </c>
      <c r="T567" s="76"/>
      <c r="U567" s="76">
        <v>0</v>
      </c>
      <c r="V567" s="76"/>
      <c r="W567" s="76">
        <v>0</v>
      </c>
      <c r="X567" s="76"/>
      <c r="Y567" s="76">
        <v>0</v>
      </c>
      <c r="Z567" s="76"/>
      <c r="AA567" s="76">
        <v>0</v>
      </c>
      <c r="AB567" s="76"/>
      <c r="AC567" s="76">
        <v>0</v>
      </c>
      <c r="AD567" s="76"/>
      <c r="AE567" s="76">
        <f t="shared" si="56"/>
        <v>7569</v>
      </c>
      <c r="AF567" s="76"/>
      <c r="AG567" s="76">
        <v>-478</v>
      </c>
      <c r="AH567" s="76"/>
      <c r="AI567" s="76">
        <f>AK567-AG567</f>
        <v>10720</v>
      </c>
      <c r="AJ567" s="76"/>
      <c r="AK567" s="76">
        <v>10242</v>
      </c>
      <c r="AL567" s="24">
        <f>+'Gen Rev'!AI567-'Gen Exp'!AE567+'Gen Exp'!AI567-AK567</f>
        <v>0</v>
      </c>
      <c r="AM567" s="41" t="str">
        <f>'Gen Rev'!A567</f>
        <v>Rome</v>
      </c>
      <c r="AN567" s="21" t="str">
        <f t="shared" si="57"/>
        <v>Rome</v>
      </c>
      <c r="AO567" s="21" t="b">
        <f t="shared" si="58"/>
        <v>1</v>
      </c>
    </row>
    <row r="568" spans="1:41" s="10" customFormat="1" ht="12" customHeight="1" x14ac:dyDescent="0.2">
      <c r="A568" s="1" t="s">
        <v>488</v>
      </c>
      <c r="B568" s="1"/>
      <c r="C568" s="1" t="s">
        <v>484</v>
      </c>
      <c r="D568" s="1"/>
      <c r="E568" s="76">
        <v>116477.4</v>
      </c>
      <c r="F568" s="76"/>
      <c r="G568" s="76">
        <v>0</v>
      </c>
      <c r="H568" s="76"/>
      <c r="I568" s="76">
        <v>0</v>
      </c>
      <c r="J568" s="76"/>
      <c r="K568" s="76">
        <v>0</v>
      </c>
      <c r="L568" s="76"/>
      <c r="M568" s="76">
        <v>0</v>
      </c>
      <c r="N568" s="76"/>
      <c r="O568" s="76">
        <v>0</v>
      </c>
      <c r="P568" s="76"/>
      <c r="Q568" s="76">
        <v>49204.88</v>
      </c>
      <c r="R568" s="76"/>
      <c r="S568" s="76">
        <v>0</v>
      </c>
      <c r="T568" s="76"/>
      <c r="U568" s="76">
        <v>0</v>
      </c>
      <c r="V568" s="76"/>
      <c r="W568" s="76">
        <v>2164.6799999999998</v>
      </c>
      <c r="X568" s="76"/>
      <c r="Y568" s="76">
        <v>0</v>
      </c>
      <c r="Z568" s="76"/>
      <c r="AA568" s="76">
        <v>0</v>
      </c>
      <c r="AB568" s="76"/>
      <c r="AC568" s="76">
        <v>0</v>
      </c>
      <c r="AD568" s="76"/>
      <c r="AE568" s="76">
        <f t="shared" si="56"/>
        <v>167846.96</v>
      </c>
      <c r="AF568" s="76"/>
      <c r="AG568" s="76">
        <v>1019.41</v>
      </c>
      <c r="AH568" s="76"/>
      <c r="AI568" s="76">
        <v>47587.51</v>
      </c>
      <c r="AJ568" s="76"/>
      <c r="AK568" s="76">
        <v>48606.92</v>
      </c>
      <c r="AL568" s="24">
        <f>+'Gen Rev'!AI568-'Gen Exp'!AE568+'Gen Exp'!AI568-AK568</f>
        <v>0</v>
      </c>
      <c r="AM568" s="41" t="str">
        <f>'Gen Rev'!A568</f>
        <v>Roseville</v>
      </c>
      <c r="AN568" s="21" t="str">
        <f t="shared" si="57"/>
        <v>Roseville</v>
      </c>
      <c r="AO568" s="21" t="b">
        <f t="shared" ref="AO568:AO599" si="59">AM568=AN568</f>
        <v>1</v>
      </c>
    </row>
    <row r="569" spans="1:41" s="36" customFormat="1" ht="12" hidden="1" customHeight="1" x14ac:dyDescent="0.2">
      <c r="A569" s="1" t="s">
        <v>336</v>
      </c>
      <c r="B569" s="1"/>
      <c r="C569" s="1" t="s">
        <v>329</v>
      </c>
      <c r="D569" s="21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>
        <f t="shared" si="56"/>
        <v>0</v>
      </c>
      <c r="AF569" s="76"/>
      <c r="AG569" s="76"/>
      <c r="AH569" s="76"/>
      <c r="AI569" s="76"/>
      <c r="AJ569" s="76"/>
      <c r="AK569" s="76"/>
      <c r="AL569" s="24">
        <f>+'Gen Rev'!AI569-'Gen Exp'!AE569+'Gen Exp'!AI569-AK569</f>
        <v>0</v>
      </c>
      <c r="AM569" s="41" t="str">
        <f>'Gen Rev'!A569</f>
        <v>Rossburg</v>
      </c>
      <c r="AN569" s="21" t="str">
        <f t="shared" si="57"/>
        <v>Rossburg</v>
      </c>
      <c r="AO569" s="21" t="b">
        <f t="shared" si="59"/>
        <v>1</v>
      </c>
    </row>
    <row r="570" spans="1:41" ht="12" customHeight="1" x14ac:dyDescent="0.2">
      <c r="A570" s="1" t="s">
        <v>896</v>
      </c>
      <c r="C570" s="1" t="s">
        <v>560</v>
      </c>
      <c r="D570" s="23"/>
      <c r="E570" s="76">
        <v>14108.26</v>
      </c>
      <c r="F570" s="76"/>
      <c r="G570" s="76">
        <v>35.53</v>
      </c>
      <c r="H570" s="76"/>
      <c r="I570" s="76">
        <v>198.82</v>
      </c>
      <c r="J570" s="76"/>
      <c r="K570" s="76">
        <v>35.04</v>
      </c>
      <c r="L570" s="76"/>
      <c r="M570" s="76">
        <v>8067.23</v>
      </c>
      <c r="N570" s="76"/>
      <c r="O570" s="76">
        <v>0</v>
      </c>
      <c r="P570" s="76"/>
      <c r="Q570" s="76">
        <v>22119.52</v>
      </c>
      <c r="R570" s="76"/>
      <c r="S570" s="76">
        <v>0</v>
      </c>
      <c r="T570" s="76"/>
      <c r="U570" s="76">
        <v>0</v>
      </c>
      <c r="V570" s="76"/>
      <c r="W570" s="76">
        <v>0</v>
      </c>
      <c r="X570" s="76"/>
      <c r="Y570" s="76">
        <v>0</v>
      </c>
      <c r="Z570" s="76"/>
      <c r="AA570" s="76">
        <v>0</v>
      </c>
      <c r="AB570" s="76"/>
      <c r="AC570" s="76">
        <v>420</v>
      </c>
      <c r="AD570" s="76"/>
      <c r="AE570" s="76">
        <f t="shared" si="56"/>
        <v>44984.4</v>
      </c>
      <c r="AF570" s="76"/>
      <c r="AG570" s="76">
        <v>14510.18</v>
      </c>
      <c r="AH570" s="76"/>
      <c r="AI570" s="76">
        <v>11817.45</v>
      </c>
      <c r="AJ570" s="76"/>
      <c r="AK570" s="76">
        <v>26327.63</v>
      </c>
      <c r="AL570" s="24">
        <f>+'Gen Rev'!AI570-'Gen Exp'!AE570+'Gen Exp'!AI570-AK570</f>
        <v>0</v>
      </c>
      <c r="AM570" s="41" t="str">
        <f>'Gen Rev'!A570</f>
        <v>Roswell</v>
      </c>
      <c r="AN570" s="21" t="str">
        <f t="shared" si="57"/>
        <v>Roswell</v>
      </c>
      <c r="AO570" s="21" t="b">
        <f t="shared" si="59"/>
        <v>1</v>
      </c>
    </row>
    <row r="571" spans="1:41" s="21" customFormat="1" ht="12" customHeight="1" x14ac:dyDescent="0.2">
      <c r="A571" s="1" t="s">
        <v>842</v>
      </c>
      <c r="B571" s="1"/>
      <c r="C571" s="1" t="s">
        <v>775</v>
      </c>
      <c r="D571" s="23"/>
      <c r="E571" s="76">
        <v>2767.24</v>
      </c>
      <c r="F571" s="76"/>
      <c r="G571" s="76">
        <v>0</v>
      </c>
      <c r="H571" s="76"/>
      <c r="I571" s="76">
        <v>11070.6</v>
      </c>
      <c r="J571" s="76"/>
      <c r="K571" s="76">
        <v>428.96</v>
      </c>
      <c r="L571" s="76"/>
      <c r="M571" s="76">
        <v>0</v>
      </c>
      <c r="N571" s="76"/>
      <c r="O571" s="76">
        <v>56297.85</v>
      </c>
      <c r="P571" s="76"/>
      <c r="Q571" s="76">
        <v>52115.97</v>
      </c>
      <c r="R571" s="76"/>
      <c r="S571" s="76">
        <v>0</v>
      </c>
      <c r="T571" s="76"/>
      <c r="U571" s="76">
        <v>0</v>
      </c>
      <c r="V571" s="76"/>
      <c r="W571" s="76">
        <v>0</v>
      </c>
      <c r="X571" s="76"/>
      <c r="Y571" s="76">
        <v>0</v>
      </c>
      <c r="Z571" s="76"/>
      <c r="AA571" s="76">
        <v>0</v>
      </c>
      <c r="AB571" s="76"/>
      <c r="AC571" s="76">
        <v>0</v>
      </c>
      <c r="AD571" s="76"/>
      <c r="AE571" s="76">
        <f t="shared" si="56"/>
        <v>122680.62</v>
      </c>
      <c r="AF571" s="76"/>
      <c r="AG571" s="76">
        <v>-342.01</v>
      </c>
      <c r="AH571" s="76"/>
      <c r="AI571" s="76">
        <v>73475.75</v>
      </c>
      <c r="AJ571" s="76"/>
      <c r="AK571" s="76">
        <v>73133.740000000005</v>
      </c>
      <c r="AL571" s="24">
        <f>+'Gen Rev'!AI571-'Gen Exp'!AE571+'Gen Exp'!AI571-AK571</f>
        <v>0</v>
      </c>
      <c r="AM571" s="41" t="str">
        <f>'Gen Rev'!A571</f>
        <v>Rushsylvania</v>
      </c>
      <c r="AN571" s="21" t="str">
        <f t="shared" si="57"/>
        <v>Rushsylvania</v>
      </c>
      <c r="AO571" s="21" t="b">
        <f t="shared" si="59"/>
        <v>1</v>
      </c>
    </row>
    <row r="572" spans="1:41" s="21" customFormat="1" ht="12" customHeight="1" x14ac:dyDescent="0.2">
      <c r="A572" s="1"/>
      <c r="B572" s="1"/>
      <c r="C572" s="1"/>
      <c r="D572" s="23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24"/>
      <c r="AM572" s="41"/>
    </row>
    <row r="573" spans="1:41" s="21" customFormat="1" ht="12" customHeight="1" x14ac:dyDescent="0.2">
      <c r="A573" s="1"/>
      <c r="B573" s="1"/>
      <c r="C573" s="1"/>
      <c r="D573" s="23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 t="s">
        <v>850</v>
      </c>
      <c r="AF573" s="76"/>
      <c r="AG573" s="76"/>
      <c r="AH573" s="76"/>
      <c r="AI573" s="76"/>
      <c r="AJ573" s="76"/>
      <c r="AK573" s="76"/>
      <c r="AL573" s="24"/>
      <c r="AM573" s="41"/>
    </row>
    <row r="574" spans="1:41" s="21" customFormat="1" ht="12" customHeight="1" x14ac:dyDescent="0.2">
      <c r="A574" s="1"/>
      <c r="B574" s="1"/>
      <c r="C574" s="1"/>
      <c r="D574" s="23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24"/>
      <c r="AM574" s="41"/>
    </row>
    <row r="575" spans="1:41" ht="12" customHeight="1" x14ac:dyDescent="0.2">
      <c r="A575" s="1" t="s">
        <v>65</v>
      </c>
      <c r="C575" s="1" t="s">
        <v>756</v>
      </c>
      <c r="D575" s="36"/>
      <c r="E575" s="88">
        <v>2751.08</v>
      </c>
      <c r="F575" s="88"/>
      <c r="G575" s="88">
        <v>928.85</v>
      </c>
      <c r="H575" s="88"/>
      <c r="I575" s="88">
        <v>40</v>
      </c>
      <c r="J575" s="88"/>
      <c r="K575" s="88">
        <v>740.65</v>
      </c>
      <c r="L575" s="88"/>
      <c r="M575" s="88">
        <v>0</v>
      </c>
      <c r="N575" s="88"/>
      <c r="O575" s="88">
        <v>0</v>
      </c>
      <c r="P575" s="88"/>
      <c r="Q575" s="88">
        <v>23394.29</v>
      </c>
      <c r="R575" s="88"/>
      <c r="S575" s="88">
        <v>0</v>
      </c>
      <c r="T575" s="88"/>
      <c r="U575" s="88">
        <v>0</v>
      </c>
      <c r="V575" s="88"/>
      <c r="W575" s="88">
        <v>0</v>
      </c>
      <c r="X575" s="88"/>
      <c r="Y575" s="88">
        <v>886.38</v>
      </c>
      <c r="Z575" s="88"/>
      <c r="AA575" s="88">
        <v>0</v>
      </c>
      <c r="AB575" s="88"/>
      <c r="AC575" s="88">
        <v>0</v>
      </c>
      <c r="AD575" s="88"/>
      <c r="AE575" s="88">
        <f t="shared" ref="AE575:AE606" si="60">SUM(E575:AC575)</f>
        <v>28741.250000000004</v>
      </c>
      <c r="AF575" s="76"/>
      <c r="AG575" s="76">
        <v>-8294.3700000000008</v>
      </c>
      <c r="AH575" s="76"/>
      <c r="AI575" s="76">
        <v>43835.19</v>
      </c>
      <c r="AJ575" s="76"/>
      <c r="AK575" s="76">
        <v>35540.82</v>
      </c>
      <c r="AL575" s="24">
        <f>+'Gen Rev'!AI572-'Gen Exp'!AE575+'Gen Exp'!AI575-AK575</f>
        <v>0</v>
      </c>
      <c r="AM575" s="41" t="str">
        <f>'Gen Rev'!A572</f>
        <v>Rushville</v>
      </c>
      <c r="AN575" s="21" t="str">
        <f t="shared" ref="AN575:AN606" si="61">A575</f>
        <v>Rushville</v>
      </c>
      <c r="AO575" s="21" t="b">
        <f t="shared" ref="AO575:AO606" si="62">AM575=AN575</f>
        <v>1</v>
      </c>
    </row>
    <row r="576" spans="1:41" s="15" customFormat="1" ht="12" customHeight="1" x14ac:dyDescent="0.2">
      <c r="A576" s="1" t="s">
        <v>447</v>
      </c>
      <c r="B576" s="1"/>
      <c r="C576" s="1" t="s">
        <v>446</v>
      </c>
      <c r="D576" s="23"/>
      <c r="E576" s="76">
        <v>45091.32</v>
      </c>
      <c r="F576" s="76"/>
      <c r="G576" s="76">
        <v>0</v>
      </c>
      <c r="H576" s="76"/>
      <c r="I576" s="76">
        <v>0</v>
      </c>
      <c r="J576" s="76"/>
      <c r="K576" s="76">
        <v>43242.09</v>
      </c>
      <c r="L576" s="76"/>
      <c r="M576" s="76">
        <v>0</v>
      </c>
      <c r="N576" s="76"/>
      <c r="O576" s="76">
        <v>0</v>
      </c>
      <c r="P576" s="76"/>
      <c r="Q576" s="76">
        <v>188962.77</v>
      </c>
      <c r="R576" s="76"/>
      <c r="S576" s="76">
        <v>0</v>
      </c>
      <c r="T576" s="76"/>
      <c r="U576" s="76">
        <v>0</v>
      </c>
      <c r="V576" s="76"/>
      <c r="W576" s="76">
        <v>0</v>
      </c>
      <c r="X576" s="76"/>
      <c r="Y576" s="76">
        <v>198183.88</v>
      </c>
      <c r="Z576" s="76"/>
      <c r="AA576" s="76">
        <v>0</v>
      </c>
      <c r="AB576" s="76"/>
      <c r="AC576" s="76">
        <v>0</v>
      </c>
      <c r="AD576" s="76"/>
      <c r="AE576" s="76">
        <f t="shared" si="60"/>
        <v>475480.06</v>
      </c>
      <c r="AF576" s="76"/>
      <c r="AG576" s="76">
        <v>54255.53</v>
      </c>
      <c r="AH576" s="76"/>
      <c r="AI576" s="76">
        <v>1101370.52</v>
      </c>
      <c r="AJ576" s="76"/>
      <c r="AK576" s="76">
        <v>1155626.05</v>
      </c>
      <c r="AL576" s="24">
        <f>+'Gen Rev'!AI573-'Gen Exp'!AE576+'Gen Exp'!AI576-AK576</f>
        <v>0</v>
      </c>
      <c r="AM576" s="41" t="str">
        <f>'Gen Rev'!A573</f>
        <v>Russells Point</v>
      </c>
      <c r="AN576" s="21" t="str">
        <f t="shared" si="61"/>
        <v>Russells Point</v>
      </c>
      <c r="AO576" s="21" t="b">
        <f t="shared" si="62"/>
        <v>1</v>
      </c>
    </row>
    <row r="577" spans="1:41" s="21" customFormat="1" ht="12" customHeight="1" x14ac:dyDescent="0.2">
      <c r="A577" s="1" t="s">
        <v>933</v>
      </c>
      <c r="B577" s="1"/>
      <c r="C577" s="1" t="s">
        <v>283</v>
      </c>
      <c r="D577" s="23"/>
      <c r="E577" s="76">
        <v>0</v>
      </c>
      <c r="F577" s="76"/>
      <c r="G577" s="76">
        <v>0</v>
      </c>
      <c r="H577" s="76"/>
      <c r="I577" s="76">
        <v>0</v>
      </c>
      <c r="J577" s="76"/>
      <c r="K577" s="76">
        <v>0</v>
      </c>
      <c r="L577" s="76"/>
      <c r="M577" s="76">
        <v>0</v>
      </c>
      <c r="N577" s="76"/>
      <c r="O577" s="76">
        <v>0</v>
      </c>
      <c r="P577" s="76"/>
      <c r="Q577" s="76">
        <v>95554.47</v>
      </c>
      <c r="R577" s="76"/>
      <c r="S577" s="76">
        <v>0</v>
      </c>
      <c r="T577" s="76"/>
      <c r="U577" s="76">
        <v>0</v>
      </c>
      <c r="V577" s="76"/>
      <c r="W577" s="76">
        <v>0</v>
      </c>
      <c r="X577" s="76"/>
      <c r="Y577" s="76">
        <v>0</v>
      </c>
      <c r="Z577" s="76"/>
      <c r="AA577" s="76">
        <v>0</v>
      </c>
      <c r="AB577" s="76"/>
      <c r="AC577" s="76">
        <v>0</v>
      </c>
      <c r="AD577" s="76"/>
      <c r="AE577" s="76">
        <f t="shared" si="60"/>
        <v>95554.47</v>
      </c>
      <c r="AF577" s="76"/>
      <c r="AG577" s="76">
        <v>-1070.57</v>
      </c>
      <c r="AH577" s="76"/>
      <c r="AI577" s="76">
        <v>22976.639999999999</v>
      </c>
      <c r="AJ577" s="76"/>
      <c r="AK577" s="76">
        <v>21906.07</v>
      </c>
      <c r="AL577" s="24">
        <f>+'Gen Rev'!AI574-'Gen Exp'!AE577+'Gen Exp'!AI577-AK577</f>
        <v>0</v>
      </c>
      <c r="AM577" s="41" t="str">
        <f>'Gen Rev'!A574</f>
        <v>Russellville</v>
      </c>
      <c r="AN577" s="21" t="str">
        <f t="shared" si="61"/>
        <v>Russellville</v>
      </c>
      <c r="AO577" s="21" t="b">
        <f t="shared" si="62"/>
        <v>1</v>
      </c>
    </row>
    <row r="578" spans="1:41" s="21" customFormat="1" ht="12" customHeight="1" x14ac:dyDescent="0.2">
      <c r="A578" s="15" t="s">
        <v>538</v>
      </c>
      <c r="B578" s="15"/>
      <c r="C578" s="15" t="s">
        <v>536</v>
      </c>
      <c r="D578" s="15"/>
      <c r="E578" s="76">
        <v>26073</v>
      </c>
      <c r="F578" s="76"/>
      <c r="G578" s="76">
        <v>6896</v>
      </c>
      <c r="H578" s="76"/>
      <c r="I578" s="76">
        <v>10388</v>
      </c>
      <c r="J578" s="76"/>
      <c r="K578" s="76">
        <v>56</v>
      </c>
      <c r="L578" s="76"/>
      <c r="M578" s="76">
        <v>15796</v>
      </c>
      <c r="N578" s="76"/>
      <c r="O578" s="76">
        <v>0</v>
      </c>
      <c r="P578" s="76"/>
      <c r="Q578" s="76">
        <v>142949</v>
      </c>
      <c r="R578" s="76"/>
      <c r="S578" s="76">
        <v>235</v>
      </c>
      <c r="T578" s="76"/>
      <c r="U578" s="76">
        <v>0</v>
      </c>
      <c r="V578" s="76"/>
      <c r="W578" s="76">
        <v>0</v>
      </c>
      <c r="X578" s="76"/>
      <c r="Y578" s="76">
        <v>0</v>
      </c>
      <c r="Z578" s="76"/>
      <c r="AA578" s="76">
        <v>0</v>
      </c>
      <c r="AB578" s="76"/>
      <c r="AC578" s="76">
        <v>0</v>
      </c>
      <c r="AD578" s="76"/>
      <c r="AE578" s="76">
        <f t="shared" si="60"/>
        <v>202393</v>
      </c>
      <c r="AF578" s="76"/>
      <c r="AG578" s="76">
        <v>-1409</v>
      </c>
      <c r="AH578" s="76"/>
      <c r="AI578" s="76">
        <v>320883</v>
      </c>
      <c r="AJ578" s="76"/>
      <c r="AK578" s="76">
        <v>319474</v>
      </c>
      <c r="AL578" s="24">
        <f>+'Gen Rev'!AI575-'Gen Exp'!AE578+'Gen Exp'!AI578-AK578</f>
        <v>0</v>
      </c>
      <c r="AM578" s="41" t="str">
        <f>'Gen Rev'!A575</f>
        <v>Russia</v>
      </c>
      <c r="AN578" s="21" t="str">
        <f t="shared" si="61"/>
        <v>Russia</v>
      </c>
      <c r="AO578" s="21" t="b">
        <f t="shared" si="62"/>
        <v>1</v>
      </c>
    </row>
    <row r="579" spans="1:41" ht="12" customHeight="1" x14ac:dyDescent="0.2">
      <c r="A579" s="1" t="s">
        <v>700</v>
      </c>
      <c r="C579" s="1" t="s">
        <v>464</v>
      </c>
      <c r="D579" s="10"/>
      <c r="E579" s="76">
        <v>24866.31</v>
      </c>
      <c r="F579" s="76"/>
      <c r="G579" s="76">
        <v>0</v>
      </c>
      <c r="H579" s="76"/>
      <c r="I579" s="76">
        <v>0</v>
      </c>
      <c r="J579" s="76"/>
      <c r="K579" s="76">
        <v>0</v>
      </c>
      <c r="L579" s="76"/>
      <c r="M579" s="76">
        <v>0</v>
      </c>
      <c r="N579" s="76"/>
      <c r="O579" s="76">
        <v>0</v>
      </c>
      <c r="P579" s="76"/>
      <c r="Q579" s="76">
        <v>20089.05</v>
      </c>
      <c r="R579" s="76"/>
      <c r="S579" s="76">
        <v>0</v>
      </c>
      <c r="T579" s="76"/>
      <c r="U579" s="76">
        <v>0</v>
      </c>
      <c r="V579" s="76"/>
      <c r="W579" s="76">
        <v>0</v>
      </c>
      <c r="X579" s="76"/>
      <c r="Y579" s="76">
        <v>0</v>
      </c>
      <c r="Z579" s="76"/>
      <c r="AA579" s="76">
        <v>0</v>
      </c>
      <c r="AB579" s="76"/>
      <c r="AC579" s="76">
        <v>0</v>
      </c>
      <c r="AD579" s="76"/>
      <c r="AE579" s="76">
        <f t="shared" si="60"/>
        <v>44955.360000000001</v>
      </c>
      <c r="AF579" s="76"/>
      <c r="AG579" s="76">
        <v>5118.1400000000003</v>
      </c>
      <c r="AH579" s="76"/>
      <c r="AI579" s="76">
        <v>28387.360000000001</v>
      </c>
      <c r="AJ579" s="76"/>
      <c r="AK579" s="76">
        <v>33505.5</v>
      </c>
      <c r="AL579" s="24">
        <f>+'Gen Rev'!AI576-'Gen Exp'!AE579+'Gen Exp'!AI579-AK579</f>
        <v>0</v>
      </c>
      <c r="AM579" s="41" t="str">
        <f>'Gen Rev'!A576</f>
        <v>Rutland</v>
      </c>
      <c r="AN579" s="21" t="str">
        <f t="shared" si="61"/>
        <v>Rutland</v>
      </c>
      <c r="AO579" s="21" t="b">
        <f t="shared" si="62"/>
        <v>1</v>
      </c>
    </row>
    <row r="580" spans="1:41" ht="12" customHeight="1" x14ac:dyDescent="0.2">
      <c r="A580" s="1" t="s">
        <v>304</v>
      </c>
      <c r="C580" s="1" t="s">
        <v>299</v>
      </c>
      <c r="D580" s="10"/>
      <c r="E580" s="76">
        <v>287538.34999999998</v>
      </c>
      <c r="F580" s="76"/>
      <c r="G580" s="76">
        <v>715.02</v>
      </c>
      <c r="H580" s="76"/>
      <c r="I580" s="76">
        <v>579.57000000000005</v>
      </c>
      <c r="J580" s="76"/>
      <c r="K580" s="76">
        <v>0</v>
      </c>
      <c r="L580" s="76"/>
      <c r="M580" s="76">
        <v>0</v>
      </c>
      <c r="N580" s="76"/>
      <c r="O580" s="76">
        <v>76010.58</v>
      </c>
      <c r="P580" s="76"/>
      <c r="Q580" s="76">
        <v>186987.15</v>
      </c>
      <c r="R580" s="76"/>
      <c r="S580" s="76">
        <v>0</v>
      </c>
      <c r="T580" s="76"/>
      <c r="U580" s="76">
        <v>0</v>
      </c>
      <c r="V580" s="76"/>
      <c r="W580" s="76">
        <v>0</v>
      </c>
      <c r="X580" s="76"/>
      <c r="Y580" s="76">
        <v>0</v>
      </c>
      <c r="Z580" s="76"/>
      <c r="AA580" s="76">
        <v>0</v>
      </c>
      <c r="AB580" s="76"/>
      <c r="AC580" s="76">
        <v>13.21</v>
      </c>
      <c r="AD580" s="76"/>
      <c r="AE580" s="76">
        <f t="shared" si="60"/>
        <v>551843.88</v>
      </c>
      <c r="AF580" s="76"/>
      <c r="AG580" s="76">
        <v>-125002.57</v>
      </c>
      <c r="AH580" s="76"/>
      <c r="AI580" s="76">
        <v>601059.1</v>
      </c>
      <c r="AJ580" s="76"/>
      <c r="AK580" s="76">
        <v>476056.53</v>
      </c>
      <c r="AL580" s="24">
        <f>+'Gen Rev'!AI577-'Gen Exp'!AE580+'Gen Exp'!AI580-AK580</f>
        <v>0</v>
      </c>
      <c r="AM580" s="41" t="str">
        <f>'Gen Rev'!A577</f>
        <v>Sabina</v>
      </c>
      <c r="AN580" s="21" t="str">
        <f t="shared" si="61"/>
        <v>Sabina</v>
      </c>
      <c r="AO580" s="21" t="b">
        <f t="shared" si="62"/>
        <v>1</v>
      </c>
    </row>
    <row r="581" spans="1:41" ht="12" customHeight="1" x14ac:dyDescent="0.2">
      <c r="A581" s="1" t="s">
        <v>161</v>
      </c>
      <c r="C581" s="1" t="s">
        <v>783</v>
      </c>
      <c r="D581" s="23"/>
      <c r="E581" s="76">
        <v>200265.41</v>
      </c>
      <c r="F581" s="76"/>
      <c r="G581" s="76">
        <v>14060.01</v>
      </c>
      <c r="H581" s="76"/>
      <c r="I581" s="76">
        <v>0</v>
      </c>
      <c r="J581" s="76"/>
      <c r="K581" s="76">
        <v>0</v>
      </c>
      <c r="L581" s="76"/>
      <c r="M581" s="76">
        <v>0</v>
      </c>
      <c r="N581" s="76"/>
      <c r="O581" s="76">
        <v>36896.68</v>
      </c>
      <c r="P581" s="76"/>
      <c r="Q581" s="76">
        <v>16525.79</v>
      </c>
      <c r="R581" s="76"/>
      <c r="S581" s="76">
        <v>8951.85</v>
      </c>
      <c r="T581" s="76"/>
      <c r="U581" s="76">
        <v>0</v>
      </c>
      <c r="V581" s="76"/>
      <c r="W581" s="76">
        <v>0</v>
      </c>
      <c r="X581" s="76"/>
      <c r="Y581" s="76">
        <v>0</v>
      </c>
      <c r="Z581" s="76"/>
      <c r="AA581" s="76">
        <v>0</v>
      </c>
      <c r="AB581" s="76"/>
      <c r="AC581" s="76">
        <v>0</v>
      </c>
      <c r="AD581" s="76"/>
      <c r="AE581" s="76">
        <f t="shared" si="60"/>
        <v>276699.74</v>
      </c>
      <c r="AF581" s="76"/>
      <c r="AG581" s="76">
        <v>87150.98</v>
      </c>
      <c r="AH581" s="76"/>
      <c r="AI581" s="76">
        <v>301138.56</v>
      </c>
      <c r="AJ581" s="76"/>
      <c r="AK581" s="76">
        <v>388289.54</v>
      </c>
      <c r="AL581" s="24">
        <f>+'Gen Rev'!AI578-'Gen Exp'!AE581+'Gen Exp'!AI581-AK581</f>
        <v>0</v>
      </c>
      <c r="AM581" s="41" t="str">
        <f>'Gen Rev'!A578</f>
        <v>Saint Henry</v>
      </c>
      <c r="AN581" s="21" t="str">
        <f t="shared" si="61"/>
        <v>Saint Henry</v>
      </c>
      <c r="AO581" s="21" t="b">
        <f t="shared" si="62"/>
        <v>1</v>
      </c>
    </row>
    <row r="582" spans="1:41" ht="12" customHeight="1" x14ac:dyDescent="0.2">
      <c r="A582" s="1" t="s">
        <v>934</v>
      </c>
      <c r="C582" s="1" t="s">
        <v>375</v>
      </c>
      <c r="D582" s="15"/>
      <c r="E582" s="76">
        <v>0</v>
      </c>
      <c r="F582" s="76"/>
      <c r="G582" s="76">
        <v>0</v>
      </c>
      <c r="H582" s="76"/>
      <c r="I582" s="76">
        <v>114.29</v>
      </c>
      <c r="J582" s="76"/>
      <c r="K582" s="76">
        <v>0</v>
      </c>
      <c r="L582" s="76"/>
      <c r="M582" s="76">
        <v>1980.64</v>
      </c>
      <c r="N582" s="76"/>
      <c r="O582" s="76">
        <v>0</v>
      </c>
      <c r="P582" s="76"/>
      <c r="Q582" s="76">
        <v>12779.59</v>
      </c>
      <c r="R582" s="76"/>
      <c r="S582" s="76">
        <v>0</v>
      </c>
      <c r="T582" s="76"/>
      <c r="U582" s="76">
        <v>0</v>
      </c>
      <c r="V582" s="76"/>
      <c r="W582" s="76">
        <v>0</v>
      </c>
      <c r="X582" s="76"/>
      <c r="Y582" s="76">
        <v>0</v>
      </c>
      <c r="Z582" s="76"/>
      <c r="AA582" s="76">
        <v>0</v>
      </c>
      <c r="AB582" s="76"/>
      <c r="AC582" s="76">
        <v>0</v>
      </c>
      <c r="AD582" s="76"/>
      <c r="AE582" s="76">
        <f t="shared" si="60"/>
        <v>14874.52</v>
      </c>
      <c r="AF582" s="76"/>
      <c r="AG582" s="76">
        <v>-6068.64</v>
      </c>
      <c r="AH582" s="76"/>
      <c r="AI582" s="76">
        <v>7050.07</v>
      </c>
      <c r="AJ582" s="76"/>
      <c r="AK582" s="76">
        <v>981.43</v>
      </c>
      <c r="AL582" s="24">
        <f>+'Gen Rev'!AI579-'Gen Exp'!AE582+'Gen Exp'!AI582-AK582</f>
        <v>-1.4779288903810084E-12</v>
      </c>
      <c r="AM582" s="41" t="str">
        <f>'Gen Rev'!A579</f>
        <v>Salesville</v>
      </c>
      <c r="AN582" s="21" t="str">
        <f t="shared" si="61"/>
        <v>Salesville</v>
      </c>
      <c r="AO582" s="21" t="b">
        <f t="shared" si="62"/>
        <v>1</v>
      </c>
    </row>
    <row r="583" spans="1:41" s="21" customFormat="1" ht="12" customHeight="1" x14ac:dyDescent="0.2">
      <c r="A583" s="1" t="s">
        <v>46</v>
      </c>
      <c r="B583" s="1"/>
      <c r="C583" s="1" t="s">
        <v>749</v>
      </c>
      <c r="D583" s="23"/>
      <c r="E583" s="76">
        <v>96323.45</v>
      </c>
      <c r="F583" s="76"/>
      <c r="G583" s="76">
        <v>0</v>
      </c>
      <c r="H583" s="76"/>
      <c r="I583" s="76">
        <v>0</v>
      </c>
      <c r="J583" s="76"/>
      <c r="K583" s="76">
        <v>0</v>
      </c>
      <c r="L583" s="76"/>
      <c r="M583" s="76">
        <v>0</v>
      </c>
      <c r="N583" s="76"/>
      <c r="O583" s="76">
        <v>1297.8900000000001</v>
      </c>
      <c r="P583" s="76"/>
      <c r="Q583" s="76">
        <v>98766.76</v>
      </c>
      <c r="R583" s="76"/>
      <c r="S583" s="76">
        <v>0</v>
      </c>
      <c r="T583" s="76"/>
      <c r="U583" s="76">
        <v>0</v>
      </c>
      <c r="V583" s="76"/>
      <c r="W583" s="76">
        <v>0</v>
      </c>
      <c r="X583" s="76"/>
      <c r="Y583" s="76">
        <v>15500</v>
      </c>
      <c r="Z583" s="76"/>
      <c r="AA583" s="76">
        <v>20500</v>
      </c>
      <c r="AB583" s="76"/>
      <c r="AC583" s="76">
        <v>0</v>
      </c>
      <c r="AD583" s="76"/>
      <c r="AE583" s="76">
        <f t="shared" si="60"/>
        <v>232388.09999999998</v>
      </c>
      <c r="AF583" s="76"/>
      <c r="AG583" s="76">
        <v>-7152.03</v>
      </c>
      <c r="AH583" s="76"/>
      <c r="AI583" s="76">
        <v>8024.18</v>
      </c>
      <c r="AJ583" s="76"/>
      <c r="AK583" s="76">
        <v>872.15</v>
      </c>
      <c r="AL583" s="24">
        <f>+'Gen Rev'!AI580-'Gen Exp'!AE583+'Gen Exp'!AI583-AK583</f>
        <v>5.9685589803848416E-11</v>
      </c>
      <c r="AM583" s="41" t="str">
        <f>'Gen Rev'!A580</f>
        <v>Salineville</v>
      </c>
      <c r="AN583" s="21" t="str">
        <f t="shared" si="61"/>
        <v>Salineville</v>
      </c>
      <c r="AO583" s="21" t="b">
        <f t="shared" si="62"/>
        <v>1</v>
      </c>
    </row>
    <row r="584" spans="1:41" s="15" customFormat="1" ht="12" customHeight="1" x14ac:dyDescent="0.2">
      <c r="A584" s="1" t="s">
        <v>906</v>
      </c>
      <c r="B584" s="1"/>
      <c r="C584" s="1" t="s">
        <v>790</v>
      </c>
      <c r="D584" s="23"/>
      <c r="E584" s="76">
        <v>3922</v>
      </c>
      <c r="F584" s="76"/>
      <c r="G584" s="76">
        <v>0</v>
      </c>
      <c r="H584" s="76"/>
      <c r="I584" s="76">
        <v>188</v>
      </c>
      <c r="J584" s="76"/>
      <c r="K584" s="76">
        <v>0</v>
      </c>
      <c r="L584" s="76"/>
      <c r="M584" s="76">
        <v>0</v>
      </c>
      <c r="N584" s="76"/>
      <c r="O584" s="76">
        <v>0</v>
      </c>
      <c r="P584" s="76"/>
      <c r="Q584" s="76">
        <v>8844</v>
      </c>
      <c r="R584" s="76"/>
      <c r="S584" s="76">
        <v>0</v>
      </c>
      <c r="T584" s="76"/>
      <c r="U584" s="76">
        <v>0</v>
      </c>
      <c r="V584" s="76"/>
      <c r="W584" s="76">
        <v>0</v>
      </c>
      <c r="X584" s="76"/>
      <c r="Y584" s="76">
        <v>0</v>
      </c>
      <c r="Z584" s="76"/>
      <c r="AA584" s="76">
        <v>0</v>
      </c>
      <c r="AB584" s="76"/>
      <c r="AC584" s="76">
        <v>0</v>
      </c>
      <c r="AD584" s="76"/>
      <c r="AE584" s="76">
        <f t="shared" si="60"/>
        <v>12954</v>
      </c>
      <c r="AF584" s="76"/>
      <c r="AG584" s="76">
        <f>'Gen Rev'!AI581-'Gen Exp'!AE584</f>
        <v>1644</v>
      </c>
      <c r="AH584" s="76"/>
      <c r="AI584" s="76">
        <f>AK584-AG584</f>
        <v>14957</v>
      </c>
      <c r="AJ584" s="76"/>
      <c r="AK584" s="76">
        <v>16601</v>
      </c>
      <c r="AL584" s="24">
        <f>+'Gen Rev'!AI581-'Gen Exp'!AE584+'Gen Exp'!AI584-AK584</f>
        <v>0</v>
      </c>
      <c r="AM584" s="41" t="str">
        <f>'Gen Rev'!A581</f>
        <v>Sarahsville</v>
      </c>
      <c r="AN584" s="21" t="str">
        <f t="shared" si="61"/>
        <v>Sarahsville</v>
      </c>
      <c r="AO584" s="21" t="b">
        <f t="shared" si="62"/>
        <v>1</v>
      </c>
    </row>
    <row r="585" spans="1:41" s="21" customFormat="1" ht="12" customHeight="1" x14ac:dyDescent="0.2">
      <c r="A585" s="1" t="s">
        <v>25</v>
      </c>
      <c r="B585" s="1"/>
      <c r="C585" s="1" t="s">
        <v>742</v>
      </c>
      <c r="D585" s="23"/>
      <c r="E585" s="76">
        <v>11654.53</v>
      </c>
      <c r="F585" s="76"/>
      <c r="G585" s="76">
        <v>1795</v>
      </c>
      <c r="H585" s="76"/>
      <c r="I585" s="76">
        <v>0</v>
      </c>
      <c r="J585" s="76"/>
      <c r="K585" s="76">
        <v>0</v>
      </c>
      <c r="L585" s="76"/>
      <c r="M585" s="76">
        <v>0</v>
      </c>
      <c r="N585" s="76"/>
      <c r="O585" s="76">
        <v>0</v>
      </c>
      <c r="P585" s="76"/>
      <c r="Q585" s="76">
        <v>78926.289999999994</v>
      </c>
      <c r="R585" s="76"/>
      <c r="S585" s="76">
        <v>0</v>
      </c>
      <c r="T585" s="76"/>
      <c r="U585" s="76">
        <v>0</v>
      </c>
      <c r="V585" s="76"/>
      <c r="W585" s="76">
        <v>0</v>
      </c>
      <c r="X585" s="76"/>
      <c r="Y585" s="76">
        <v>68000</v>
      </c>
      <c r="Z585" s="76"/>
      <c r="AA585" s="76">
        <v>0</v>
      </c>
      <c r="AB585" s="76"/>
      <c r="AC585" s="76">
        <v>0</v>
      </c>
      <c r="AD585" s="76"/>
      <c r="AE585" s="76">
        <f t="shared" si="60"/>
        <v>160375.82</v>
      </c>
      <c r="AF585" s="76"/>
      <c r="AG585" s="76">
        <v>18329.96</v>
      </c>
      <c r="AH585" s="76"/>
      <c r="AI585" s="76">
        <v>42803.040000000001</v>
      </c>
      <c r="AJ585" s="76"/>
      <c r="AK585" s="76">
        <v>61133</v>
      </c>
      <c r="AL585" s="24">
        <f>+'Gen Rev'!AI582-'Gen Exp'!AE585+'Gen Exp'!AI585-AK585</f>
        <v>0</v>
      </c>
      <c r="AM585" s="41" t="str">
        <f>'Gen Rev'!A582</f>
        <v>Sardinia</v>
      </c>
      <c r="AN585" s="21" t="str">
        <f t="shared" si="61"/>
        <v>Sardinia</v>
      </c>
      <c r="AO585" s="21" t="b">
        <f t="shared" si="62"/>
        <v>1</v>
      </c>
    </row>
    <row r="586" spans="1:41" ht="12" customHeight="1" x14ac:dyDescent="0.2">
      <c r="A586" s="1" t="s">
        <v>673</v>
      </c>
      <c r="C586" s="1" t="s">
        <v>666</v>
      </c>
      <c r="D586" s="23"/>
      <c r="E586" s="76">
        <v>9650</v>
      </c>
      <c r="F586" s="76"/>
      <c r="G586" s="76">
        <v>0</v>
      </c>
      <c r="H586" s="76"/>
      <c r="I586" s="76">
        <v>3111</v>
      </c>
      <c r="J586" s="76"/>
      <c r="K586" s="76">
        <v>50</v>
      </c>
      <c r="L586" s="76"/>
      <c r="M586" s="76">
        <v>4577</v>
      </c>
      <c r="N586" s="76"/>
      <c r="O586" s="76">
        <v>0</v>
      </c>
      <c r="P586" s="76"/>
      <c r="Q586" s="76">
        <v>33620</v>
      </c>
      <c r="R586" s="76"/>
      <c r="S586" s="76">
        <v>2144</v>
      </c>
      <c r="T586" s="76"/>
      <c r="U586" s="76">
        <v>0</v>
      </c>
      <c r="V586" s="76"/>
      <c r="W586" s="76">
        <v>0</v>
      </c>
      <c r="X586" s="76"/>
      <c r="Y586" s="76">
        <v>0</v>
      </c>
      <c r="Z586" s="76"/>
      <c r="AA586" s="76">
        <v>0</v>
      </c>
      <c r="AB586" s="76"/>
      <c r="AC586" s="76">
        <v>21336</v>
      </c>
      <c r="AD586" s="76"/>
      <c r="AE586" s="76">
        <f t="shared" si="60"/>
        <v>74488</v>
      </c>
      <c r="AF586" s="76"/>
      <c r="AG586" s="76">
        <v>-28399</v>
      </c>
      <c r="AH586" s="76"/>
      <c r="AI586" s="76">
        <v>93548</v>
      </c>
      <c r="AJ586" s="76"/>
      <c r="AK586" s="76">
        <v>65149</v>
      </c>
      <c r="AL586" s="24">
        <f>+'Gen Rev'!AI583-'Gen Exp'!AE586+'Gen Exp'!AI586-AK586</f>
        <v>0</v>
      </c>
      <c r="AM586" s="41" t="str">
        <f>'Gen Rev'!A583</f>
        <v>Savannah</v>
      </c>
      <c r="AN586" s="21" t="str">
        <f t="shared" si="61"/>
        <v>Savannah</v>
      </c>
      <c r="AO586" s="21" t="b">
        <f t="shared" si="62"/>
        <v>1</v>
      </c>
    </row>
    <row r="587" spans="1:41" ht="12" customHeight="1" x14ac:dyDescent="0.2">
      <c r="A587" s="1" t="s">
        <v>406</v>
      </c>
      <c r="C587" s="1" t="s">
        <v>403</v>
      </c>
      <c r="E587" s="76">
        <v>16636</v>
      </c>
      <c r="F587" s="76"/>
      <c r="G587" s="76">
        <v>549</v>
      </c>
      <c r="H587" s="76"/>
      <c r="I587" s="76">
        <v>0</v>
      </c>
      <c r="J587" s="76"/>
      <c r="K587" s="76">
        <v>0</v>
      </c>
      <c r="L587" s="76"/>
      <c r="M587" s="76">
        <v>0</v>
      </c>
      <c r="N587" s="76"/>
      <c r="O587" s="76">
        <v>0</v>
      </c>
      <c r="P587" s="76"/>
      <c r="Q587" s="76">
        <v>108470</v>
      </c>
      <c r="R587" s="76"/>
      <c r="S587" s="76">
        <v>0</v>
      </c>
      <c r="T587" s="76"/>
      <c r="U587" s="76">
        <v>0</v>
      </c>
      <c r="V587" s="76"/>
      <c r="W587" s="76">
        <v>0</v>
      </c>
      <c r="X587" s="76"/>
      <c r="Y587" s="76">
        <v>0</v>
      </c>
      <c r="Z587" s="76"/>
      <c r="AA587" s="76">
        <v>0</v>
      </c>
      <c r="AB587" s="76"/>
      <c r="AC587" s="76">
        <v>48678</v>
      </c>
      <c r="AD587" s="76"/>
      <c r="AE587" s="76">
        <f t="shared" si="60"/>
        <v>174333</v>
      </c>
      <c r="AF587" s="76"/>
      <c r="AG587" s="76">
        <v>-37320</v>
      </c>
      <c r="AH587" s="76"/>
      <c r="AI587" s="76">
        <v>215400</v>
      </c>
      <c r="AJ587" s="76"/>
      <c r="AK587" s="76">
        <v>178080</v>
      </c>
      <c r="AL587" s="24">
        <f>+'Gen Rev'!AI584-'Gen Exp'!AE587+'Gen Exp'!AI587-AK587</f>
        <v>0</v>
      </c>
      <c r="AM587" s="41" t="str">
        <f>'Gen Rev'!A584</f>
        <v>Scio</v>
      </c>
      <c r="AN587" s="21" t="str">
        <f t="shared" si="61"/>
        <v>Scio</v>
      </c>
      <c r="AO587" s="21" t="b">
        <f t="shared" si="62"/>
        <v>1</v>
      </c>
    </row>
    <row r="588" spans="1:41" ht="12" customHeight="1" x14ac:dyDescent="0.2">
      <c r="A588" s="1" t="s">
        <v>574</v>
      </c>
      <c r="C588" s="1" t="s">
        <v>572</v>
      </c>
      <c r="E588" s="76">
        <v>14945.63</v>
      </c>
      <c r="F588" s="76"/>
      <c r="G588" s="76">
        <v>291.08999999999997</v>
      </c>
      <c r="H588" s="76"/>
      <c r="I588" s="76">
        <v>0</v>
      </c>
      <c r="J588" s="76"/>
      <c r="K588" s="76">
        <v>98.17</v>
      </c>
      <c r="L588" s="76"/>
      <c r="M588" s="76">
        <v>0</v>
      </c>
      <c r="N588" s="76"/>
      <c r="O588" s="76">
        <v>0</v>
      </c>
      <c r="P588" s="76"/>
      <c r="Q588" s="76">
        <v>16187.98</v>
      </c>
      <c r="R588" s="76"/>
      <c r="S588" s="76">
        <v>0</v>
      </c>
      <c r="T588" s="76"/>
      <c r="U588" s="76">
        <v>0</v>
      </c>
      <c r="V588" s="76"/>
      <c r="W588" s="76">
        <v>0</v>
      </c>
      <c r="X588" s="76"/>
      <c r="Y588" s="76">
        <v>9809.5</v>
      </c>
      <c r="Z588" s="76"/>
      <c r="AA588" s="76">
        <v>0</v>
      </c>
      <c r="AB588" s="76"/>
      <c r="AC588" s="76">
        <v>0</v>
      </c>
      <c r="AD588" s="76"/>
      <c r="AE588" s="76">
        <f t="shared" si="60"/>
        <v>41332.369999999995</v>
      </c>
      <c r="AF588" s="76"/>
      <c r="AG588" s="76">
        <v>-3134.19</v>
      </c>
      <c r="AH588" s="76"/>
      <c r="AI588" s="76">
        <v>28676.84</v>
      </c>
      <c r="AJ588" s="76"/>
      <c r="AK588" s="76">
        <v>25542.65</v>
      </c>
      <c r="AL588" s="24">
        <f>+'Gen Rev'!AI585-'Gen Exp'!AE588+'Gen Exp'!AI588-AK588</f>
        <v>0</v>
      </c>
      <c r="AM588" s="41" t="str">
        <f>'Gen Rev'!A585</f>
        <v>Scott</v>
      </c>
      <c r="AN588" s="21" t="str">
        <f t="shared" si="61"/>
        <v>Scott</v>
      </c>
      <c r="AO588" s="21" t="b">
        <f t="shared" si="62"/>
        <v>1</v>
      </c>
    </row>
    <row r="589" spans="1:41" s="21" customFormat="1" ht="12" customHeight="1" x14ac:dyDescent="0.2">
      <c r="A589" s="1" t="s">
        <v>674</v>
      </c>
      <c r="B589" s="1"/>
      <c r="C589" s="1" t="s">
        <v>659</v>
      </c>
      <c r="D589" s="23"/>
      <c r="E589" s="76">
        <v>87498</v>
      </c>
      <c r="F589" s="76"/>
      <c r="G589" s="76">
        <v>2582</v>
      </c>
      <c r="H589" s="76"/>
      <c r="I589" s="76">
        <v>0</v>
      </c>
      <c r="J589" s="76"/>
      <c r="K589" s="76">
        <v>0</v>
      </c>
      <c r="L589" s="76"/>
      <c r="M589" s="76">
        <v>0</v>
      </c>
      <c r="N589" s="76"/>
      <c r="O589" s="76">
        <v>0</v>
      </c>
      <c r="P589" s="76"/>
      <c r="Q589" s="76">
        <v>117953</v>
      </c>
      <c r="R589" s="76"/>
      <c r="S589" s="76">
        <v>23859</v>
      </c>
      <c r="T589" s="76"/>
      <c r="U589" s="76">
        <v>0</v>
      </c>
      <c r="V589" s="76"/>
      <c r="W589" s="76">
        <v>0</v>
      </c>
      <c r="X589" s="76"/>
      <c r="Y589" s="76">
        <v>0</v>
      </c>
      <c r="Z589" s="76"/>
      <c r="AA589" s="76">
        <v>0</v>
      </c>
      <c r="AB589" s="76"/>
      <c r="AC589" s="76">
        <v>0</v>
      </c>
      <c r="AD589" s="76"/>
      <c r="AE589" s="76">
        <f t="shared" si="60"/>
        <v>231892</v>
      </c>
      <c r="AF589" s="76"/>
      <c r="AG589" s="76">
        <f>'Gen Rev'!AI586-'Gen Exp'!AE589</f>
        <v>-37680</v>
      </c>
      <c r="AH589" s="76"/>
      <c r="AI589" s="76">
        <f>AK589-AG589</f>
        <v>94064</v>
      </c>
      <c r="AJ589" s="76"/>
      <c r="AK589" s="76">
        <v>56384</v>
      </c>
      <c r="AL589" s="24">
        <f>+'Gen Rev'!AI586-'Gen Exp'!AE589+'Gen Exp'!AI589-AK589</f>
        <v>0</v>
      </c>
      <c r="AM589" s="41" t="str">
        <f>'Gen Rev'!A586</f>
        <v>Seaman</v>
      </c>
      <c r="AN589" s="21" t="str">
        <f t="shared" si="61"/>
        <v>Seaman</v>
      </c>
      <c r="AO589" s="21" t="b">
        <f t="shared" si="62"/>
        <v>1</v>
      </c>
    </row>
    <row r="590" spans="1:41" s="15" customFormat="1" ht="12" customHeight="1" x14ac:dyDescent="0.2">
      <c r="A590" s="1" t="s">
        <v>461</v>
      </c>
      <c r="B590" s="1"/>
      <c r="C590" s="1" t="s">
        <v>462</v>
      </c>
      <c r="D590" s="1"/>
      <c r="E590" s="76">
        <v>746308</v>
      </c>
      <c r="F590" s="76"/>
      <c r="G590" s="76">
        <v>12523</v>
      </c>
      <c r="H590" s="76"/>
      <c r="I590" s="76">
        <v>0</v>
      </c>
      <c r="J590" s="76"/>
      <c r="K590" s="76">
        <v>0</v>
      </c>
      <c r="L590" s="76"/>
      <c r="M590" s="76">
        <v>0</v>
      </c>
      <c r="N590" s="76"/>
      <c r="O590" s="76">
        <v>0</v>
      </c>
      <c r="P590" s="76"/>
      <c r="Q590" s="76">
        <v>464158</v>
      </c>
      <c r="R590" s="76"/>
      <c r="S590" s="76">
        <v>0</v>
      </c>
      <c r="T590" s="76"/>
      <c r="U590" s="76">
        <v>205891</v>
      </c>
      <c r="V590" s="76"/>
      <c r="W590" s="76">
        <v>0</v>
      </c>
      <c r="X590" s="76"/>
      <c r="Y590" s="76">
        <v>0</v>
      </c>
      <c r="Z590" s="76"/>
      <c r="AA590" s="76">
        <v>0</v>
      </c>
      <c r="AB590" s="76"/>
      <c r="AC590" s="76">
        <v>265591</v>
      </c>
      <c r="AD590" s="76"/>
      <c r="AE590" s="76">
        <f t="shared" si="60"/>
        <v>1694471</v>
      </c>
      <c r="AF590" s="76"/>
      <c r="AG590" s="76">
        <f>'Gen Rev'!AI587-'Gen Exp'!AE590</f>
        <v>-1858</v>
      </c>
      <c r="AH590" s="76"/>
      <c r="AI590" s="76">
        <f>AK590-AG590</f>
        <v>427967</v>
      </c>
      <c r="AJ590" s="76"/>
      <c r="AK590" s="76">
        <v>426109</v>
      </c>
      <c r="AL590" s="24">
        <f>+'Gen Rev'!AI587-'Gen Exp'!AE590+'Gen Exp'!AI590-AK590</f>
        <v>0</v>
      </c>
      <c r="AM590" s="41" t="str">
        <f>'Gen Rev'!A587</f>
        <v>Sebring</v>
      </c>
      <c r="AN590" s="21" t="str">
        <f t="shared" si="61"/>
        <v>Sebring</v>
      </c>
      <c r="AO590" s="21" t="b">
        <f t="shared" si="62"/>
        <v>1</v>
      </c>
    </row>
    <row r="591" spans="1:41" ht="12" customHeight="1" x14ac:dyDescent="0.2">
      <c r="A591" s="1" t="s">
        <v>90</v>
      </c>
      <c r="C591" s="1" t="s">
        <v>762</v>
      </c>
      <c r="E591" s="76">
        <v>10562.19</v>
      </c>
      <c r="F591" s="76"/>
      <c r="G591" s="76">
        <v>0</v>
      </c>
      <c r="H591" s="76"/>
      <c r="I591" s="76">
        <v>173.55</v>
      </c>
      <c r="J591" s="76"/>
      <c r="K591" s="76">
        <v>0</v>
      </c>
      <c r="L591" s="76"/>
      <c r="M591" s="76">
        <v>0</v>
      </c>
      <c r="N591" s="76"/>
      <c r="O591" s="76">
        <v>0</v>
      </c>
      <c r="P591" s="76"/>
      <c r="Q591" s="76">
        <v>21961.33</v>
      </c>
      <c r="R591" s="76"/>
      <c r="S591" s="76">
        <v>0</v>
      </c>
      <c r="T591" s="76"/>
      <c r="U591" s="76">
        <v>0</v>
      </c>
      <c r="V591" s="76"/>
      <c r="W591" s="76">
        <v>0</v>
      </c>
      <c r="X591" s="76"/>
      <c r="Y591" s="76">
        <v>825.12</v>
      </c>
      <c r="Z591" s="76"/>
      <c r="AA591" s="76">
        <v>0</v>
      </c>
      <c r="AB591" s="76"/>
      <c r="AC591" s="76">
        <v>0</v>
      </c>
      <c r="AD591" s="76"/>
      <c r="AE591" s="76">
        <f t="shared" si="60"/>
        <v>33522.19</v>
      </c>
      <c r="AF591" s="76"/>
      <c r="AG591" s="76">
        <v>93162.11</v>
      </c>
      <c r="AH591" s="76"/>
      <c r="AI591" s="76">
        <v>13724.01</v>
      </c>
      <c r="AJ591" s="76"/>
      <c r="AK591" s="76">
        <v>106886.12</v>
      </c>
      <c r="AL591" s="24">
        <f>+'Gen Rev'!AI588-'Gen Exp'!AE591+'Gen Exp'!AI591-AK591</f>
        <v>0</v>
      </c>
      <c r="AM591" s="41" t="str">
        <f>'Gen Rev'!A588</f>
        <v>Senecaville</v>
      </c>
      <c r="AN591" s="21" t="str">
        <f t="shared" si="61"/>
        <v>Senecaville</v>
      </c>
      <c r="AO591" s="21" t="b">
        <f t="shared" si="62"/>
        <v>1</v>
      </c>
    </row>
    <row r="592" spans="1:41" s="21" customFormat="1" ht="12" customHeight="1" x14ac:dyDescent="0.2">
      <c r="A592" s="1" t="s">
        <v>27</v>
      </c>
      <c r="B592" s="1"/>
      <c r="C592" s="1" t="s">
        <v>743</v>
      </c>
      <c r="D592" s="23"/>
      <c r="E592" s="76">
        <v>58251.79</v>
      </c>
      <c r="F592" s="76"/>
      <c r="G592" s="76">
        <v>0</v>
      </c>
      <c r="H592" s="76"/>
      <c r="I592" s="76">
        <v>2573.75</v>
      </c>
      <c r="J592" s="76"/>
      <c r="K592" s="76">
        <v>0</v>
      </c>
      <c r="L592" s="76"/>
      <c r="M592" s="76">
        <v>618.84</v>
      </c>
      <c r="N592" s="76"/>
      <c r="O592" s="76">
        <v>0</v>
      </c>
      <c r="P592" s="76"/>
      <c r="Q592" s="76">
        <v>54618.15</v>
      </c>
      <c r="R592" s="76"/>
      <c r="S592" s="76">
        <v>1821.56</v>
      </c>
      <c r="T592" s="76"/>
      <c r="U592" s="76">
        <v>0</v>
      </c>
      <c r="V592" s="76"/>
      <c r="W592" s="76">
        <v>0</v>
      </c>
      <c r="X592" s="76"/>
      <c r="Y592" s="76">
        <v>0</v>
      </c>
      <c r="Z592" s="76"/>
      <c r="AA592" s="76">
        <v>0</v>
      </c>
      <c r="AB592" s="76"/>
      <c r="AC592" s="76">
        <v>0</v>
      </c>
      <c r="AD592" s="76"/>
      <c r="AE592" s="76">
        <f t="shared" si="60"/>
        <v>117884.09</v>
      </c>
      <c r="AF592" s="76"/>
      <c r="AG592" s="76">
        <v>-24241.16</v>
      </c>
      <c r="AH592" s="76"/>
      <c r="AI592" s="76">
        <v>119662.42</v>
      </c>
      <c r="AJ592" s="76"/>
      <c r="AK592" s="76">
        <v>95421.26</v>
      </c>
      <c r="AL592" s="24">
        <f>+'Gen Rev'!AI589-'Gen Exp'!AE592+'Gen Exp'!AI592-AK592</f>
        <v>0</v>
      </c>
      <c r="AM592" s="41" t="str">
        <f>'Gen Rev'!A589</f>
        <v>Seven Mile</v>
      </c>
      <c r="AN592" s="21" t="str">
        <f t="shared" si="61"/>
        <v>Seven Mile</v>
      </c>
      <c r="AO592" s="21" t="b">
        <f t="shared" si="62"/>
        <v>1</v>
      </c>
    </row>
    <row r="593" spans="1:41" ht="12" customHeight="1" x14ac:dyDescent="0.2">
      <c r="A593" s="1" t="s">
        <v>154</v>
      </c>
      <c r="C593" s="1" t="s">
        <v>781</v>
      </c>
      <c r="D593" s="23"/>
      <c r="E593" s="76">
        <v>0</v>
      </c>
      <c r="F593" s="76"/>
      <c r="G593" s="76">
        <v>1288</v>
      </c>
      <c r="H593" s="76"/>
      <c r="I593" s="76">
        <v>93265.38</v>
      </c>
      <c r="J593" s="76"/>
      <c r="K593" s="76">
        <v>8993.4</v>
      </c>
      <c r="L593" s="76"/>
      <c r="M593" s="76">
        <v>0</v>
      </c>
      <c r="N593" s="76"/>
      <c r="O593" s="76">
        <v>0</v>
      </c>
      <c r="P593" s="76"/>
      <c r="Q593" s="76">
        <v>357002.67</v>
      </c>
      <c r="R593" s="76"/>
      <c r="S593" s="76">
        <v>0</v>
      </c>
      <c r="T593" s="76"/>
      <c r="U593" s="76">
        <v>0</v>
      </c>
      <c r="V593" s="76"/>
      <c r="W593" s="76">
        <v>0</v>
      </c>
      <c r="X593" s="76"/>
      <c r="Y593" s="76">
        <v>1155156.81</v>
      </c>
      <c r="Z593" s="76"/>
      <c r="AA593" s="76">
        <v>0</v>
      </c>
      <c r="AB593" s="76"/>
      <c r="AC593" s="76">
        <v>0</v>
      </c>
      <c r="AD593" s="76"/>
      <c r="AE593" s="76">
        <f t="shared" si="60"/>
        <v>1615706.26</v>
      </c>
      <c r="AF593" s="76"/>
      <c r="AG593" s="76">
        <v>92130.07</v>
      </c>
      <c r="AH593" s="76"/>
      <c r="AI593" s="76">
        <v>990020.29</v>
      </c>
      <c r="AJ593" s="76"/>
      <c r="AK593" s="76">
        <v>1082150.3600000001</v>
      </c>
      <c r="AL593" s="24">
        <f>+'Gen Rev'!AI590-'Gen Exp'!AE593+'Gen Exp'!AI593-AK593</f>
        <v>0</v>
      </c>
      <c r="AM593" s="41" t="str">
        <f>'Gen Rev'!A590</f>
        <v>Seville</v>
      </c>
      <c r="AN593" s="21" t="str">
        <f t="shared" si="61"/>
        <v>Seville</v>
      </c>
      <c r="AO593" s="21" t="b">
        <f t="shared" si="62"/>
        <v>1</v>
      </c>
    </row>
    <row r="594" spans="1:41" ht="12" customHeight="1" x14ac:dyDescent="0.2">
      <c r="A594" s="1" t="s">
        <v>20</v>
      </c>
      <c r="C594" s="1" t="s">
        <v>741</v>
      </c>
      <c r="D594" s="23"/>
      <c r="E594" s="76">
        <v>303161.13</v>
      </c>
      <c r="F594" s="76"/>
      <c r="G594" s="76">
        <v>13063.94</v>
      </c>
      <c r="H594" s="76"/>
      <c r="I594" s="76">
        <v>24846.25</v>
      </c>
      <c r="J594" s="76"/>
      <c r="K594" s="76">
        <v>0</v>
      </c>
      <c r="L594" s="76"/>
      <c r="M594" s="76">
        <v>0</v>
      </c>
      <c r="N594" s="76"/>
      <c r="O594" s="76">
        <v>44359.24</v>
      </c>
      <c r="P594" s="76"/>
      <c r="Q594" s="76">
        <v>186448.81</v>
      </c>
      <c r="R594" s="76"/>
      <c r="S594" s="76">
        <v>0</v>
      </c>
      <c r="T594" s="76"/>
      <c r="U594" s="76">
        <v>11305.32</v>
      </c>
      <c r="V594" s="76"/>
      <c r="W594" s="76">
        <v>1673.75</v>
      </c>
      <c r="X594" s="76"/>
      <c r="Y594" s="76">
        <v>0</v>
      </c>
      <c r="Z594" s="76"/>
      <c r="AA594" s="76">
        <v>0</v>
      </c>
      <c r="AB594" s="76"/>
      <c r="AC594" s="76">
        <v>63.42</v>
      </c>
      <c r="AD594" s="76"/>
      <c r="AE594" s="76">
        <f t="shared" si="60"/>
        <v>584921.86</v>
      </c>
      <c r="AF594" s="76"/>
      <c r="AG594" s="76">
        <v>82903.58</v>
      </c>
      <c r="AH594" s="76"/>
      <c r="AI594" s="76">
        <v>499596.53</v>
      </c>
      <c r="AJ594" s="76"/>
      <c r="AK594" s="76">
        <v>582500.11</v>
      </c>
      <c r="AL594" s="24">
        <f>+'Gen Rev'!AI591-'Gen Exp'!AE594+'Gen Exp'!AI594-AK594</f>
        <v>0</v>
      </c>
      <c r="AM594" s="41" t="str">
        <f>'Gen Rev'!A591</f>
        <v>Shadyside</v>
      </c>
      <c r="AN594" s="21" t="str">
        <f t="shared" si="61"/>
        <v>Shadyside</v>
      </c>
      <c r="AO594" s="21" t="b">
        <f t="shared" si="62"/>
        <v>1</v>
      </c>
    </row>
    <row r="595" spans="1:41" s="15" customFormat="1" ht="12" customHeight="1" x14ac:dyDescent="0.2">
      <c r="A595" s="1" t="s">
        <v>187</v>
      </c>
      <c r="B595" s="1"/>
      <c r="C595" s="1" t="s">
        <v>433</v>
      </c>
      <c r="D595" s="23"/>
      <c r="E595" s="76">
        <v>31193.84</v>
      </c>
      <c r="F595" s="76"/>
      <c r="G595" s="76">
        <v>169</v>
      </c>
      <c r="H595" s="76"/>
      <c r="I595" s="76">
        <v>0</v>
      </c>
      <c r="J595" s="76"/>
      <c r="K595" s="76">
        <v>0</v>
      </c>
      <c r="L595" s="76"/>
      <c r="M595" s="76">
        <v>0</v>
      </c>
      <c r="N595" s="76"/>
      <c r="O595" s="76">
        <v>142.86000000000001</v>
      </c>
      <c r="P595" s="76"/>
      <c r="Q595" s="76">
        <v>43877.83</v>
      </c>
      <c r="R595" s="76"/>
      <c r="S595" s="76">
        <v>0</v>
      </c>
      <c r="T595" s="76"/>
      <c r="U595" s="76">
        <v>0</v>
      </c>
      <c r="V595" s="76"/>
      <c r="W595" s="76">
        <v>0</v>
      </c>
      <c r="X595" s="76"/>
      <c r="Y595" s="76">
        <v>0</v>
      </c>
      <c r="Z595" s="76"/>
      <c r="AA595" s="76">
        <v>0</v>
      </c>
      <c r="AB595" s="76"/>
      <c r="AC595" s="76">
        <v>28431.78</v>
      </c>
      <c r="AD595" s="76"/>
      <c r="AE595" s="76">
        <f t="shared" si="60"/>
        <v>103815.31</v>
      </c>
      <c r="AF595" s="76"/>
      <c r="AG595" s="76">
        <v>-31424.82</v>
      </c>
      <c r="AH595" s="76"/>
      <c r="AI595" s="76">
        <v>73675.19</v>
      </c>
      <c r="AJ595" s="76"/>
      <c r="AK595" s="76">
        <v>42250.37</v>
      </c>
      <c r="AL595" s="24">
        <f>+'Gen Rev'!AI592-'Gen Exp'!AE595+'Gen Exp'!AI595-AK595</f>
        <v>0</v>
      </c>
      <c r="AM595" s="41" t="str">
        <f>'Gen Rev'!A592</f>
        <v>Shawnee</v>
      </c>
      <c r="AN595" s="21" t="str">
        <f t="shared" si="61"/>
        <v>Shawnee</v>
      </c>
      <c r="AO595" s="21" t="b">
        <f t="shared" si="62"/>
        <v>1</v>
      </c>
    </row>
    <row r="596" spans="1:41" ht="12" customHeight="1" x14ac:dyDescent="0.2">
      <c r="A596" s="1" t="s">
        <v>345</v>
      </c>
      <c r="C596" s="1" t="s">
        <v>343</v>
      </c>
      <c r="D596" s="23"/>
      <c r="E596" s="76">
        <v>250725.81</v>
      </c>
      <c r="F596" s="76"/>
      <c r="G596" s="76">
        <v>0</v>
      </c>
      <c r="H596" s="76"/>
      <c r="I596" s="76">
        <v>2368.48</v>
      </c>
      <c r="J596" s="76"/>
      <c r="K596" s="76">
        <v>56983.91</v>
      </c>
      <c r="L596" s="76"/>
      <c r="M596" s="76">
        <v>0</v>
      </c>
      <c r="N596" s="76"/>
      <c r="O596" s="76">
        <v>0</v>
      </c>
      <c r="P596" s="76"/>
      <c r="Q596" s="76">
        <v>205438.85</v>
      </c>
      <c r="R596" s="76"/>
      <c r="S596" s="76">
        <v>0</v>
      </c>
      <c r="T596" s="76"/>
      <c r="U596" s="76">
        <v>0</v>
      </c>
      <c r="V596" s="76"/>
      <c r="W596" s="76">
        <v>0</v>
      </c>
      <c r="X596" s="76"/>
      <c r="Y596" s="76">
        <v>50000</v>
      </c>
      <c r="Z596" s="76"/>
      <c r="AA596" s="76">
        <v>0</v>
      </c>
      <c r="AB596" s="76"/>
      <c r="AC596" s="76">
        <v>6365.04</v>
      </c>
      <c r="AD596" s="76"/>
      <c r="AE596" s="76">
        <f t="shared" si="60"/>
        <v>571882.09000000008</v>
      </c>
      <c r="AF596" s="76"/>
      <c r="AG596" s="76">
        <v>78244.490000000005</v>
      </c>
      <c r="AH596" s="76"/>
      <c r="AI596" s="76">
        <v>199143.07</v>
      </c>
      <c r="AJ596" s="76"/>
      <c r="AK596" s="76">
        <v>277387.56</v>
      </c>
      <c r="AL596" s="24">
        <f>+'Gen Rev'!AI593-'Gen Exp'!AE596+'Gen Exp'!AI596-AK596</f>
        <v>0</v>
      </c>
      <c r="AM596" s="41" t="str">
        <f>'Gen Rev'!A593</f>
        <v>Shawnee Hills</v>
      </c>
      <c r="AN596" s="21" t="str">
        <f t="shared" si="61"/>
        <v>Shawnee Hills</v>
      </c>
      <c r="AO596" s="21" t="b">
        <f t="shared" si="62"/>
        <v>1</v>
      </c>
    </row>
    <row r="597" spans="1:41" ht="12" customHeight="1" x14ac:dyDescent="0.2">
      <c r="A597" s="1" t="s">
        <v>452</v>
      </c>
      <c r="C597" s="1" t="s">
        <v>451</v>
      </c>
      <c r="E597" s="76">
        <v>2894393</v>
      </c>
      <c r="F597" s="76"/>
      <c r="G597" s="76">
        <v>0</v>
      </c>
      <c r="H597" s="76"/>
      <c r="I597" s="76">
        <v>0</v>
      </c>
      <c r="J597" s="76"/>
      <c r="K597" s="76">
        <v>0</v>
      </c>
      <c r="L597" s="76"/>
      <c r="M597" s="76">
        <v>0</v>
      </c>
      <c r="N597" s="76"/>
      <c r="O597" s="76">
        <v>0</v>
      </c>
      <c r="P597" s="76"/>
      <c r="Q597" s="76">
        <v>1019644</v>
      </c>
      <c r="R597" s="76"/>
      <c r="S597" s="76">
        <v>203282</v>
      </c>
      <c r="T597" s="76"/>
      <c r="U597" s="76">
        <v>0</v>
      </c>
      <c r="V597" s="76"/>
      <c r="W597" s="76">
        <v>0</v>
      </c>
      <c r="X597" s="76"/>
      <c r="Y597" s="76">
        <v>1198163</v>
      </c>
      <c r="Z597" s="76"/>
      <c r="AA597" s="76">
        <v>0</v>
      </c>
      <c r="AB597" s="76"/>
      <c r="AC597" s="76">
        <v>0</v>
      </c>
      <c r="AD597" s="76"/>
      <c r="AE597" s="76">
        <f t="shared" si="60"/>
        <v>5315482</v>
      </c>
      <c r="AF597" s="76"/>
      <c r="AG597" s="76">
        <v>-104731</v>
      </c>
      <c r="AH597" s="76"/>
      <c r="AI597" s="76">
        <v>1082430</v>
      </c>
      <c r="AJ597" s="76"/>
      <c r="AK597" s="76">
        <v>977700</v>
      </c>
      <c r="AL597" s="24">
        <f>+'Gen Rev'!AI594-'Gen Exp'!AE597+'Gen Exp'!AI597-AK597</f>
        <v>0</v>
      </c>
      <c r="AM597" s="41" t="str">
        <f>'Gen Rev'!A594</f>
        <v>Sheffield</v>
      </c>
      <c r="AN597" s="21" t="str">
        <f t="shared" si="61"/>
        <v>Sheffield</v>
      </c>
      <c r="AO597" s="21" t="b">
        <f t="shared" si="62"/>
        <v>1</v>
      </c>
    </row>
    <row r="598" spans="1:41" ht="12" customHeight="1" x14ac:dyDescent="0.2">
      <c r="A598" s="1" t="s">
        <v>31</v>
      </c>
      <c r="C598" s="1" t="s">
        <v>744</v>
      </c>
      <c r="D598" s="23"/>
      <c r="E598" s="76">
        <v>17586.88</v>
      </c>
      <c r="F598" s="76"/>
      <c r="G598" s="76">
        <v>45.75</v>
      </c>
      <c r="H598" s="76"/>
      <c r="I598" s="76">
        <v>149.97999999999999</v>
      </c>
      <c r="J598" s="76"/>
      <c r="K598" s="76">
        <v>0</v>
      </c>
      <c r="L598" s="76"/>
      <c r="M598" s="76">
        <v>12382.01</v>
      </c>
      <c r="N598" s="76"/>
      <c r="O598" s="76">
        <v>0</v>
      </c>
      <c r="P598" s="76"/>
      <c r="Q598" s="76">
        <v>33378.92</v>
      </c>
      <c r="R598" s="76"/>
      <c r="S598" s="76">
        <v>0</v>
      </c>
      <c r="T598" s="76"/>
      <c r="U598" s="76">
        <v>0</v>
      </c>
      <c r="V598" s="76"/>
      <c r="W598" s="76">
        <v>0</v>
      </c>
      <c r="X598" s="76"/>
      <c r="Y598" s="76">
        <v>5000</v>
      </c>
      <c r="Z598" s="76"/>
      <c r="AA598" s="76">
        <v>0</v>
      </c>
      <c r="AB598" s="76"/>
      <c r="AC598" s="76">
        <v>1976.79</v>
      </c>
      <c r="AD598" s="76"/>
      <c r="AE598" s="76">
        <f t="shared" si="60"/>
        <v>70520.33</v>
      </c>
      <c r="AF598" s="76"/>
      <c r="AG598" s="76">
        <v>-8000.92</v>
      </c>
      <c r="AH598" s="76"/>
      <c r="AI598" s="76">
        <v>73623.83</v>
      </c>
      <c r="AJ598" s="76"/>
      <c r="AK598" s="76">
        <v>65622.91</v>
      </c>
      <c r="AL598" s="24">
        <f>+'Gen Rev'!AI595-'Gen Exp'!AE598+'Gen Exp'!AI598-AK598</f>
        <v>0</v>
      </c>
      <c r="AM598" s="41" t="str">
        <f>'Gen Rev'!A595</f>
        <v>Sherrodsville</v>
      </c>
      <c r="AN598" s="21" t="str">
        <f t="shared" si="61"/>
        <v>Sherrodsville</v>
      </c>
      <c r="AO598" s="21" t="b">
        <f t="shared" si="62"/>
        <v>1</v>
      </c>
    </row>
    <row r="599" spans="1:41" s="21" customFormat="1" ht="12" customHeight="1" x14ac:dyDescent="0.2">
      <c r="A599" s="1" t="s">
        <v>56</v>
      </c>
      <c r="B599" s="1"/>
      <c r="C599" s="1" t="s">
        <v>753</v>
      </c>
      <c r="D599" s="1"/>
      <c r="E599" s="76">
        <v>33093.42</v>
      </c>
      <c r="F599" s="76"/>
      <c r="G599" s="76">
        <v>2093.0300000000002</v>
      </c>
      <c r="H599" s="76"/>
      <c r="I599" s="76">
        <v>933.77</v>
      </c>
      <c r="J599" s="76"/>
      <c r="K599" s="76">
        <v>538.25</v>
      </c>
      <c r="L599" s="76"/>
      <c r="M599" s="76">
        <v>0</v>
      </c>
      <c r="N599" s="76"/>
      <c r="O599" s="76">
        <v>0</v>
      </c>
      <c r="P599" s="76"/>
      <c r="Q599" s="76">
        <v>119207.58</v>
      </c>
      <c r="R599" s="76"/>
      <c r="S599" s="76">
        <v>1604.97</v>
      </c>
      <c r="T599" s="76"/>
      <c r="U599" s="76">
        <v>0</v>
      </c>
      <c r="V599" s="76"/>
      <c r="W599" s="76">
        <v>0</v>
      </c>
      <c r="X599" s="76"/>
      <c r="Y599" s="76">
        <v>22498.52</v>
      </c>
      <c r="Z599" s="76"/>
      <c r="AA599" s="76">
        <v>18575</v>
      </c>
      <c r="AB599" s="76"/>
      <c r="AC599" s="76">
        <v>0</v>
      </c>
      <c r="AD599" s="76"/>
      <c r="AE599" s="76">
        <f t="shared" si="60"/>
        <v>198544.53999999998</v>
      </c>
      <c r="AF599" s="76"/>
      <c r="AG599" s="76">
        <v>-18937.84</v>
      </c>
      <c r="AH599" s="76"/>
      <c r="AI599" s="76">
        <v>79980.91</v>
      </c>
      <c r="AJ599" s="76"/>
      <c r="AK599" s="76">
        <v>61043.07</v>
      </c>
      <c r="AL599" s="24">
        <f>+'Gen Rev'!AI596-'Gen Exp'!AE599+'Gen Exp'!AI599-AK599</f>
        <v>0</v>
      </c>
      <c r="AM599" s="41" t="str">
        <f>'Gen Rev'!A596</f>
        <v>Sherwood</v>
      </c>
      <c r="AN599" s="21" t="str">
        <f t="shared" si="61"/>
        <v>Sherwood</v>
      </c>
      <c r="AO599" s="21" t="b">
        <f t="shared" si="62"/>
        <v>1</v>
      </c>
    </row>
    <row r="600" spans="1:41" ht="12" customHeight="1" x14ac:dyDescent="0.2">
      <c r="A600" s="36" t="s">
        <v>521</v>
      </c>
      <c r="B600" s="36"/>
      <c r="C600" s="36" t="s">
        <v>519</v>
      </c>
      <c r="D600" s="36"/>
      <c r="E600" s="76">
        <v>2500</v>
      </c>
      <c r="F600" s="76"/>
      <c r="G600" s="76">
        <v>508</v>
      </c>
      <c r="H600" s="76"/>
      <c r="I600" s="76">
        <v>22</v>
      </c>
      <c r="J600" s="76"/>
      <c r="K600" s="76">
        <v>1461</v>
      </c>
      <c r="L600" s="76"/>
      <c r="M600" s="76">
        <v>0</v>
      </c>
      <c r="N600" s="76"/>
      <c r="O600" s="76">
        <v>22435</v>
      </c>
      <c r="P600" s="76"/>
      <c r="Q600" s="76">
        <v>47833</v>
      </c>
      <c r="R600" s="76"/>
      <c r="S600" s="76">
        <v>0</v>
      </c>
      <c r="T600" s="76"/>
      <c r="U600" s="76">
        <v>529</v>
      </c>
      <c r="V600" s="76"/>
      <c r="W600" s="76">
        <v>0</v>
      </c>
      <c r="X600" s="76"/>
      <c r="Y600" s="76">
        <v>0</v>
      </c>
      <c r="Z600" s="76"/>
      <c r="AA600" s="76">
        <v>0</v>
      </c>
      <c r="AB600" s="76"/>
      <c r="AC600" s="76">
        <v>0</v>
      </c>
      <c r="AD600" s="76"/>
      <c r="AE600" s="76">
        <f t="shared" si="60"/>
        <v>75288</v>
      </c>
      <c r="AF600" s="76"/>
      <c r="AG600" s="76">
        <v>21184</v>
      </c>
      <c r="AH600" s="76"/>
      <c r="AI600" s="76">
        <v>33977</v>
      </c>
      <c r="AJ600" s="76"/>
      <c r="AK600" s="76">
        <v>55161</v>
      </c>
      <c r="AL600" s="24">
        <f>+'Gen Rev'!AI597-'Gen Exp'!AE600+'Gen Exp'!AI600-AK600</f>
        <v>0</v>
      </c>
      <c r="AM600" s="41" t="str">
        <f>'Gen Rev'!A597</f>
        <v>Shiloh</v>
      </c>
      <c r="AN600" s="21" t="str">
        <f t="shared" si="61"/>
        <v>Shiloh</v>
      </c>
      <c r="AO600" s="21" t="b">
        <f t="shared" si="62"/>
        <v>1</v>
      </c>
    </row>
    <row r="601" spans="1:41" ht="12" customHeight="1" x14ac:dyDescent="0.2">
      <c r="A601" s="15" t="s">
        <v>897</v>
      </c>
      <c r="B601" s="15"/>
      <c r="C601" s="15" t="s">
        <v>588</v>
      </c>
      <c r="D601" s="15"/>
      <c r="E601" s="76">
        <v>275199</v>
      </c>
      <c r="F601" s="76"/>
      <c r="G601" s="76">
        <v>0</v>
      </c>
      <c r="H601" s="76"/>
      <c r="I601" s="76">
        <v>0</v>
      </c>
      <c r="J601" s="76"/>
      <c r="K601" s="76">
        <v>0</v>
      </c>
      <c r="L601" s="76"/>
      <c r="M601" s="76">
        <v>0</v>
      </c>
      <c r="N601" s="76"/>
      <c r="O601" s="76">
        <v>1245</v>
      </c>
      <c r="P601" s="76"/>
      <c r="Q601" s="76">
        <v>116723</v>
      </c>
      <c r="R601" s="76"/>
      <c r="S601" s="76">
        <v>828</v>
      </c>
      <c r="T601" s="76"/>
      <c r="U601" s="76">
        <v>0</v>
      </c>
      <c r="V601" s="76"/>
      <c r="W601" s="76">
        <v>0</v>
      </c>
      <c r="X601" s="76"/>
      <c r="Y601" s="76">
        <v>5500</v>
      </c>
      <c r="Z601" s="76"/>
      <c r="AA601" s="76">
        <v>0</v>
      </c>
      <c r="AB601" s="76"/>
      <c r="AC601" s="76">
        <v>16486</v>
      </c>
      <c r="AD601" s="76"/>
      <c r="AE601" s="76">
        <f t="shared" si="60"/>
        <v>415981</v>
      </c>
      <c r="AF601" s="76"/>
      <c r="AG601" s="76">
        <v>13346</v>
      </c>
      <c r="AH601" s="76"/>
      <c r="AI601" s="76">
        <v>68677</v>
      </c>
      <c r="AJ601" s="76"/>
      <c r="AK601" s="76">
        <v>82023</v>
      </c>
      <c r="AL601" s="24">
        <f>+'Gen Rev'!AI598-'Gen Exp'!AE601+'Gen Exp'!AI601-AK601</f>
        <v>0</v>
      </c>
      <c r="AM601" s="41" t="str">
        <f>'Gen Rev'!A598</f>
        <v>Shreve</v>
      </c>
      <c r="AN601" s="21" t="str">
        <f t="shared" si="61"/>
        <v>Shreve</v>
      </c>
      <c r="AO601" s="21" t="b">
        <f t="shared" si="62"/>
        <v>1</v>
      </c>
    </row>
    <row r="602" spans="1:41" s="21" customFormat="1" ht="12" customHeight="1" x14ac:dyDescent="0.2">
      <c r="A602" s="1" t="s">
        <v>554</v>
      </c>
      <c r="B602" s="1"/>
      <c r="C602" s="1" t="s">
        <v>549</v>
      </c>
      <c r="D602" s="1"/>
      <c r="E602" s="76">
        <v>1003512</v>
      </c>
      <c r="F602" s="76"/>
      <c r="G602" s="76">
        <v>28984</v>
      </c>
      <c r="H602" s="76"/>
      <c r="I602" s="76">
        <v>73211</v>
      </c>
      <c r="J602" s="76"/>
      <c r="K602" s="76">
        <v>2586</v>
      </c>
      <c r="L602" s="76"/>
      <c r="M602" s="76">
        <v>0</v>
      </c>
      <c r="N602" s="76"/>
      <c r="O602" s="76">
        <v>311179</v>
      </c>
      <c r="P602" s="76"/>
      <c r="Q602" s="76">
        <v>474769</v>
      </c>
      <c r="R602" s="76"/>
      <c r="S602" s="76">
        <v>0</v>
      </c>
      <c r="T602" s="76"/>
      <c r="U602" s="76">
        <v>0</v>
      </c>
      <c r="V602" s="76"/>
      <c r="W602" s="76">
        <v>0</v>
      </c>
      <c r="X602" s="76"/>
      <c r="Y602" s="76">
        <v>21537</v>
      </c>
      <c r="Z602" s="76"/>
      <c r="AA602" s="76">
        <v>0</v>
      </c>
      <c r="AB602" s="76"/>
      <c r="AC602" s="76">
        <v>0</v>
      </c>
      <c r="AD602" s="76"/>
      <c r="AE602" s="76">
        <f t="shared" si="60"/>
        <v>1915778</v>
      </c>
      <c r="AF602" s="76"/>
      <c r="AG602" s="76">
        <v>28385</v>
      </c>
      <c r="AH602" s="76"/>
      <c r="AI602" s="76">
        <v>1573332</v>
      </c>
      <c r="AJ602" s="76"/>
      <c r="AK602" s="76">
        <v>1601717</v>
      </c>
      <c r="AL602" s="24">
        <f>+'Gen Rev'!AI599-'Gen Exp'!AE602+'Gen Exp'!AI602-AK602</f>
        <v>0</v>
      </c>
      <c r="AM602" s="41" t="str">
        <f>'Gen Rev'!A599</f>
        <v>Silver Lake</v>
      </c>
      <c r="AN602" s="21" t="str">
        <f t="shared" si="61"/>
        <v>Silver Lake</v>
      </c>
      <c r="AO602" s="21" t="b">
        <f t="shared" si="62"/>
        <v>1</v>
      </c>
    </row>
    <row r="603" spans="1:41" ht="12" customHeight="1" x14ac:dyDescent="0.2">
      <c r="A603" s="1" t="s">
        <v>941</v>
      </c>
      <c r="C603" s="1" t="s">
        <v>378</v>
      </c>
      <c r="E603" s="76">
        <v>1372232</v>
      </c>
      <c r="F603" s="76"/>
      <c r="G603" s="76">
        <v>5031</v>
      </c>
      <c r="H603" s="76"/>
      <c r="I603" s="76">
        <v>12271</v>
      </c>
      <c r="J603" s="76"/>
      <c r="K603" s="76">
        <v>396219</v>
      </c>
      <c r="L603" s="76"/>
      <c r="M603" s="76">
        <v>0</v>
      </c>
      <c r="N603" s="76"/>
      <c r="O603" s="76">
        <v>0</v>
      </c>
      <c r="P603" s="76"/>
      <c r="Q603" s="76">
        <v>641840</v>
      </c>
      <c r="R603" s="76"/>
      <c r="S603" s="76">
        <v>0</v>
      </c>
      <c r="T603" s="76"/>
      <c r="U603" s="76">
        <v>5544</v>
      </c>
      <c r="V603" s="76"/>
      <c r="W603" s="76">
        <v>0</v>
      </c>
      <c r="X603" s="76"/>
      <c r="Y603" s="76">
        <v>260500</v>
      </c>
      <c r="Z603" s="76"/>
      <c r="AA603" s="76">
        <v>0</v>
      </c>
      <c r="AB603" s="76"/>
      <c r="AC603" s="76">
        <v>0</v>
      </c>
      <c r="AD603" s="76"/>
      <c r="AE603" s="76">
        <f t="shared" si="60"/>
        <v>2693637</v>
      </c>
      <c r="AF603" s="76"/>
      <c r="AG603" s="76">
        <v>-127908</v>
      </c>
      <c r="AH603" s="76"/>
      <c r="AI603" s="76">
        <v>1437838</v>
      </c>
      <c r="AJ603" s="76"/>
      <c r="AK603" s="76">
        <v>1309930</v>
      </c>
      <c r="AL603" s="24">
        <f>+'Gen Rev'!AI600-'Gen Exp'!AE603+'Gen Exp'!AI603-AK603</f>
        <v>0</v>
      </c>
      <c r="AM603" s="41" t="str">
        <f>'Gen Rev'!A600</f>
        <v>Silverton</v>
      </c>
      <c r="AN603" s="21" t="str">
        <f t="shared" si="61"/>
        <v>Silverton</v>
      </c>
      <c r="AO603" s="21" t="b">
        <f t="shared" si="62"/>
        <v>1</v>
      </c>
    </row>
    <row r="604" spans="1:41" s="21" customFormat="1" ht="12" customHeight="1" x14ac:dyDescent="0.2">
      <c r="A604" s="1" t="s">
        <v>411</v>
      </c>
      <c r="B604" s="1"/>
      <c r="C604" s="1" t="s">
        <v>409</v>
      </c>
      <c r="D604" s="1"/>
      <c r="E604" s="76">
        <v>5323</v>
      </c>
      <c r="F604" s="76"/>
      <c r="G604" s="76">
        <v>2500</v>
      </c>
      <c r="H604" s="76"/>
      <c r="I604" s="76">
        <v>0</v>
      </c>
      <c r="J604" s="76"/>
      <c r="K604" s="76">
        <v>0</v>
      </c>
      <c r="L604" s="76"/>
      <c r="M604" s="76">
        <v>0</v>
      </c>
      <c r="N604" s="76"/>
      <c r="O604" s="76">
        <v>0</v>
      </c>
      <c r="P604" s="76"/>
      <c r="Q604" s="76">
        <v>10237</v>
      </c>
      <c r="R604" s="76"/>
      <c r="S604" s="76">
        <v>0</v>
      </c>
      <c r="T604" s="76"/>
      <c r="U604" s="76">
        <v>0</v>
      </c>
      <c r="V604" s="76"/>
      <c r="W604" s="76">
        <v>0</v>
      </c>
      <c r="X604" s="76"/>
      <c r="Y604" s="76">
        <v>0</v>
      </c>
      <c r="Z604" s="76"/>
      <c r="AA604" s="76">
        <v>0</v>
      </c>
      <c r="AB604" s="76"/>
      <c r="AC604" s="76">
        <v>0</v>
      </c>
      <c r="AD604" s="76"/>
      <c r="AE604" s="76">
        <f t="shared" si="60"/>
        <v>18060</v>
      </c>
      <c r="AF604" s="76"/>
      <c r="AG604" s="76">
        <v>5919</v>
      </c>
      <c r="AH604" s="76"/>
      <c r="AI604" s="76">
        <v>81475</v>
      </c>
      <c r="AJ604" s="76"/>
      <c r="AK604" s="76">
        <v>87394</v>
      </c>
      <c r="AL604" s="24">
        <f>+'Gen Rev'!AI601-'Gen Exp'!AE604+'Gen Exp'!AI604-AK604</f>
        <v>0</v>
      </c>
      <c r="AM604" s="41" t="str">
        <f>'Gen Rev'!A601</f>
        <v>Sinking Spring</v>
      </c>
      <c r="AN604" s="21" t="str">
        <f t="shared" si="61"/>
        <v>Sinking Spring</v>
      </c>
      <c r="AO604" s="21" t="b">
        <f t="shared" si="62"/>
        <v>1</v>
      </c>
    </row>
    <row r="605" spans="1:41" ht="12" customHeight="1" x14ac:dyDescent="0.2">
      <c r="A605" s="15" t="s">
        <v>594</v>
      </c>
      <c r="B605" s="15"/>
      <c r="C605" s="15" t="s">
        <v>588</v>
      </c>
      <c r="D605" s="15"/>
      <c r="E605" s="76">
        <v>307979</v>
      </c>
      <c r="F605" s="76"/>
      <c r="G605" s="76">
        <v>19136</v>
      </c>
      <c r="H605" s="76"/>
      <c r="I605" s="76">
        <v>39478</v>
      </c>
      <c r="J605" s="76"/>
      <c r="K605" s="76">
        <v>16387</v>
      </c>
      <c r="L605" s="76"/>
      <c r="M605" s="76">
        <v>0</v>
      </c>
      <c r="N605" s="76"/>
      <c r="O605" s="76">
        <v>0</v>
      </c>
      <c r="P605" s="76"/>
      <c r="Q605" s="76">
        <v>134969</v>
      </c>
      <c r="R605" s="76"/>
      <c r="S605" s="76">
        <v>0</v>
      </c>
      <c r="T605" s="76"/>
      <c r="U605" s="76">
        <v>0</v>
      </c>
      <c r="V605" s="76"/>
      <c r="W605" s="76">
        <v>0</v>
      </c>
      <c r="X605" s="76"/>
      <c r="Y605" s="76">
        <v>170000</v>
      </c>
      <c r="Z605" s="76"/>
      <c r="AA605" s="76">
        <v>0</v>
      </c>
      <c r="AB605" s="76"/>
      <c r="AC605" s="76">
        <v>0</v>
      </c>
      <c r="AD605" s="76"/>
      <c r="AE605" s="76">
        <f t="shared" si="60"/>
        <v>687949</v>
      </c>
      <c r="AF605" s="76"/>
      <c r="AG605" s="76">
        <v>-1331</v>
      </c>
      <c r="AH605" s="76"/>
      <c r="AI605" s="76">
        <v>799399</v>
      </c>
      <c r="AJ605" s="76"/>
      <c r="AK605" s="76">
        <v>798068</v>
      </c>
      <c r="AL605" s="24">
        <f>+'Gen Rev'!AI602-'Gen Exp'!AE605+'Gen Exp'!AI605-AK605</f>
        <v>0</v>
      </c>
      <c r="AM605" s="41" t="str">
        <f>'Gen Rev'!A602</f>
        <v>Smithville</v>
      </c>
      <c r="AN605" s="21" t="str">
        <f t="shared" si="61"/>
        <v>Smithville</v>
      </c>
      <c r="AO605" s="21" t="b">
        <f t="shared" si="62"/>
        <v>1</v>
      </c>
    </row>
    <row r="606" spans="1:41" ht="12" hidden="1" customHeight="1" x14ac:dyDescent="0.2">
      <c r="A606" s="15" t="s">
        <v>502</v>
      </c>
      <c r="B606" s="15"/>
      <c r="C606" s="15" t="s">
        <v>500</v>
      </c>
      <c r="D606" s="21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>
        <f t="shared" si="60"/>
        <v>0</v>
      </c>
      <c r="AF606" s="76"/>
      <c r="AG606" s="76"/>
      <c r="AH606" s="76"/>
      <c r="AI606" s="76"/>
      <c r="AJ606" s="76"/>
      <c r="AK606" s="76"/>
      <c r="AL606" s="24">
        <f>+'Gen Rev'!AI603-'Gen Exp'!AE606+'Gen Exp'!AI606-AK606</f>
        <v>0</v>
      </c>
      <c r="AM606" s="41" t="str">
        <f>'Gen Rev'!A603</f>
        <v>Somerset</v>
      </c>
      <c r="AN606" s="21" t="str">
        <f t="shared" si="61"/>
        <v>Somerset</v>
      </c>
      <c r="AO606" s="21" t="b">
        <f t="shared" si="62"/>
        <v>1</v>
      </c>
    </row>
    <row r="607" spans="1:41" s="21" customFormat="1" ht="12" customHeight="1" x14ac:dyDescent="0.2">
      <c r="A607" s="1" t="s">
        <v>935</v>
      </c>
      <c r="B607" s="1"/>
      <c r="C607" s="1" t="s">
        <v>518</v>
      </c>
      <c r="D607" s="49"/>
      <c r="E607" s="76">
        <v>20706.45</v>
      </c>
      <c r="F607" s="76"/>
      <c r="G607" s="76">
        <v>0</v>
      </c>
      <c r="H607" s="76"/>
      <c r="I607" s="76">
        <v>0</v>
      </c>
      <c r="J607" s="76"/>
      <c r="K607" s="76">
        <v>0</v>
      </c>
      <c r="L607" s="76"/>
      <c r="M607" s="76">
        <v>0</v>
      </c>
      <c r="N607" s="76"/>
      <c r="O607" s="76">
        <v>0</v>
      </c>
      <c r="P607" s="76"/>
      <c r="Q607" s="76">
        <v>7098.25</v>
      </c>
      <c r="R607" s="76"/>
      <c r="S607" s="76">
        <v>0</v>
      </c>
      <c r="T607" s="76"/>
      <c r="U607" s="76">
        <v>0</v>
      </c>
      <c r="V607" s="76"/>
      <c r="W607" s="76">
        <v>0</v>
      </c>
      <c r="X607" s="76"/>
      <c r="Y607" s="76">
        <v>0</v>
      </c>
      <c r="Z607" s="76"/>
      <c r="AA607" s="76">
        <v>0</v>
      </c>
      <c r="AB607" s="76"/>
      <c r="AC607" s="76">
        <v>0</v>
      </c>
      <c r="AD607" s="76"/>
      <c r="AE607" s="76">
        <f t="shared" ref="AE607:AE639" si="63">SUM(E607:AC607)</f>
        <v>27804.7</v>
      </c>
      <c r="AF607" s="76"/>
      <c r="AG607" s="76">
        <v>-3750.15</v>
      </c>
      <c r="AH607" s="76"/>
      <c r="AI607" s="76">
        <v>17471.009999999998</v>
      </c>
      <c r="AJ607" s="76"/>
      <c r="AK607" s="76">
        <v>13720.86</v>
      </c>
      <c r="AL607" s="24">
        <f>+'Gen Rev'!AI604-'Gen Exp'!AE607+'Gen Exp'!AI607-AK607</f>
        <v>0</v>
      </c>
      <c r="AM607" s="41" t="str">
        <f>'Gen Rev'!A604</f>
        <v>Somerville</v>
      </c>
      <c r="AN607" s="21" t="str">
        <f t="shared" ref="AN607:AN639" si="64">A607</f>
        <v>Somerville</v>
      </c>
      <c r="AO607" s="21" t="b">
        <f t="shared" ref="AO607:AO638" si="65">AM607=AN607</f>
        <v>1</v>
      </c>
    </row>
    <row r="608" spans="1:41" ht="12" customHeight="1" x14ac:dyDescent="0.2">
      <c r="A608" s="15" t="s">
        <v>898</v>
      </c>
      <c r="B608" s="15"/>
      <c r="C608" s="15" t="s">
        <v>451</v>
      </c>
      <c r="D608" s="28"/>
      <c r="E608" s="76">
        <v>458886</v>
      </c>
      <c r="F608" s="76"/>
      <c r="G608" s="76">
        <v>0</v>
      </c>
      <c r="H608" s="76"/>
      <c r="I608" s="76">
        <v>13014</v>
      </c>
      <c r="J608" s="76"/>
      <c r="K608" s="76">
        <v>5917</v>
      </c>
      <c r="L608" s="76"/>
      <c r="M608" s="76">
        <v>0</v>
      </c>
      <c r="N608" s="76"/>
      <c r="O608" s="76">
        <v>0</v>
      </c>
      <c r="P608" s="76"/>
      <c r="Q608" s="76">
        <v>264431</v>
      </c>
      <c r="R608" s="76"/>
      <c r="S608" s="76">
        <v>0</v>
      </c>
      <c r="T608" s="76"/>
      <c r="U608" s="76">
        <v>0</v>
      </c>
      <c r="V608" s="76"/>
      <c r="W608" s="76">
        <v>0</v>
      </c>
      <c r="X608" s="76"/>
      <c r="Y608" s="76">
        <v>108000</v>
      </c>
      <c r="Z608" s="76"/>
      <c r="AA608" s="76">
        <v>0</v>
      </c>
      <c r="AB608" s="76"/>
      <c r="AC608" s="76">
        <v>20000</v>
      </c>
      <c r="AD608" s="76"/>
      <c r="AE608" s="76">
        <f t="shared" si="63"/>
        <v>870248</v>
      </c>
      <c r="AF608" s="76"/>
      <c r="AG608" s="76">
        <v>-53804</v>
      </c>
      <c r="AH608" s="76"/>
      <c r="AI608" s="76">
        <v>1238932</v>
      </c>
      <c r="AJ608" s="76"/>
      <c r="AK608" s="76">
        <v>1185128</v>
      </c>
      <c r="AL608" s="24">
        <f>+'Gen Rev'!AI608-'Gen Exp'!AE608+'Gen Exp'!AI608-AK608</f>
        <v>0</v>
      </c>
      <c r="AM608" s="41" t="str">
        <f>'Gen Rev'!A608</f>
        <v>South Amherst</v>
      </c>
      <c r="AN608" s="21" t="str">
        <f t="shared" si="64"/>
        <v>South Amherst</v>
      </c>
      <c r="AO608" s="21" t="b">
        <f t="shared" si="65"/>
        <v>1</v>
      </c>
    </row>
    <row r="609" spans="1:41" ht="12" customHeight="1" x14ac:dyDescent="0.2">
      <c r="A609" s="15" t="s">
        <v>268</v>
      </c>
      <c r="B609" s="15"/>
      <c r="C609" s="15" t="s">
        <v>793</v>
      </c>
      <c r="D609" s="23"/>
      <c r="E609" s="76">
        <v>282180.12</v>
      </c>
      <c r="F609" s="76"/>
      <c r="G609" s="76">
        <v>0</v>
      </c>
      <c r="H609" s="76"/>
      <c r="I609" s="76">
        <v>722.7</v>
      </c>
      <c r="J609" s="76"/>
      <c r="K609" s="76">
        <v>5376.95</v>
      </c>
      <c r="L609" s="76"/>
      <c r="M609" s="76">
        <v>182821.39</v>
      </c>
      <c r="N609" s="76"/>
      <c r="O609" s="76">
        <v>782.62</v>
      </c>
      <c r="P609" s="76"/>
      <c r="Q609" s="76">
        <v>152950.1</v>
      </c>
      <c r="R609" s="76"/>
      <c r="S609" s="76">
        <v>0</v>
      </c>
      <c r="T609" s="76"/>
      <c r="U609" s="76">
        <v>0</v>
      </c>
      <c r="V609" s="76"/>
      <c r="W609" s="76">
        <v>0</v>
      </c>
      <c r="X609" s="76"/>
      <c r="Y609" s="76">
        <v>0</v>
      </c>
      <c r="Z609" s="76"/>
      <c r="AA609" s="76">
        <v>0</v>
      </c>
      <c r="AB609" s="76"/>
      <c r="AC609" s="76">
        <v>14133.12</v>
      </c>
      <c r="AD609" s="76"/>
      <c r="AE609" s="76">
        <f t="shared" si="63"/>
        <v>638967</v>
      </c>
      <c r="AF609" s="76"/>
      <c r="AG609" s="76">
        <v>-52549.95</v>
      </c>
      <c r="AH609" s="76"/>
      <c r="AI609" s="76">
        <v>67739.649999999994</v>
      </c>
      <c r="AJ609" s="76"/>
      <c r="AK609" s="76">
        <v>15189.7</v>
      </c>
      <c r="AL609" s="24">
        <f>+'Gen Rev'!AI609-'Gen Exp'!AE609+'Gen Exp'!AI609-AK609</f>
        <v>4.0017766878008842E-11</v>
      </c>
      <c r="AM609" s="41" t="str">
        <f>'Gen Rev'!A609</f>
        <v>South Bloomfield</v>
      </c>
      <c r="AN609" s="21" t="str">
        <f t="shared" si="64"/>
        <v>South Bloomfield</v>
      </c>
      <c r="AO609" s="21" t="b">
        <f t="shared" si="65"/>
        <v>1</v>
      </c>
    </row>
    <row r="610" spans="1:41" s="21" customFormat="1" ht="12" customHeight="1" x14ac:dyDescent="0.2">
      <c r="A610" s="1" t="s">
        <v>821</v>
      </c>
      <c r="B610" s="1"/>
      <c r="C610" s="1" t="s">
        <v>746</v>
      </c>
      <c r="D610" s="23"/>
      <c r="E610" s="76">
        <v>174784.87</v>
      </c>
      <c r="F610" s="76"/>
      <c r="G610" s="76">
        <v>0</v>
      </c>
      <c r="H610" s="76"/>
      <c r="I610" s="76">
        <v>0</v>
      </c>
      <c r="J610" s="76"/>
      <c r="K610" s="76">
        <v>0</v>
      </c>
      <c r="L610" s="76"/>
      <c r="M610" s="76">
        <v>0</v>
      </c>
      <c r="N610" s="76"/>
      <c r="O610" s="76">
        <v>2367.34</v>
      </c>
      <c r="P610" s="76"/>
      <c r="Q610" s="76">
        <v>416969.39</v>
      </c>
      <c r="R610" s="76"/>
      <c r="S610" s="76">
        <v>49135.03</v>
      </c>
      <c r="T610" s="76"/>
      <c r="U610" s="76">
        <v>0</v>
      </c>
      <c r="V610" s="76"/>
      <c r="W610" s="76">
        <v>0</v>
      </c>
      <c r="X610" s="76"/>
      <c r="Y610" s="76">
        <v>0</v>
      </c>
      <c r="Z610" s="76"/>
      <c r="AA610" s="76">
        <v>0</v>
      </c>
      <c r="AB610" s="76"/>
      <c r="AC610" s="76">
        <v>0</v>
      </c>
      <c r="AD610" s="76"/>
      <c r="AE610" s="76">
        <f t="shared" si="63"/>
        <v>643256.63</v>
      </c>
      <c r="AF610" s="76"/>
      <c r="AG610" s="76">
        <v>43473.9</v>
      </c>
      <c r="AH610" s="76"/>
      <c r="AI610" s="76">
        <v>258219.73</v>
      </c>
      <c r="AJ610" s="76"/>
      <c r="AK610" s="76">
        <v>301693.63</v>
      </c>
      <c r="AL610" s="24">
        <f>+'Gen Rev'!AI610-'Gen Exp'!AE610+'Gen Exp'!AI610-AK610</f>
        <v>0</v>
      </c>
      <c r="AM610" s="41" t="str">
        <f>'Gen Rev'!A610</f>
        <v>South Charleston</v>
      </c>
      <c r="AN610" s="21" t="str">
        <f t="shared" si="64"/>
        <v>South Charleston</v>
      </c>
      <c r="AO610" s="21" t="b">
        <f t="shared" si="65"/>
        <v>1</v>
      </c>
    </row>
    <row r="611" spans="1:41" s="36" customFormat="1" ht="12" customHeight="1" x14ac:dyDescent="0.2">
      <c r="A611" s="1" t="s">
        <v>582</v>
      </c>
      <c r="B611" s="1"/>
      <c r="C611" s="1" t="s">
        <v>581</v>
      </c>
      <c r="D611" s="1"/>
      <c r="E611" s="76">
        <v>548084.74</v>
      </c>
      <c r="F611" s="76"/>
      <c r="G611" s="76">
        <v>0</v>
      </c>
      <c r="H611" s="76"/>
      <c r="I611" s="76">
        <v>91454.92</v>
      </c>
      <c r="J611" s="76"/>
      <c r="K611" s="76">
        <v>0</v>
      </c>
      <c r="L611" s="76"/>
      <c r="M611" s="76">
        <v>44373.71</v>
      </c>
      <c r="N611" s="76"/>
      <c r="O611" s="76">
        <v>0</v>
      </c>
      <c r="P611" s="76"/>
      <c r="Q611" s="76">
        <v>557970.68999999994</v>
      </c>
      <c r="R611" s="76"/>
      <c r="S611" s="76">
        <v>46974.43</v>
      </c>
      <c r="T611" s="76"/>
      <c r="U611" s="76">
        <v>0</v>
      </c>
      <c r="V611" s="76"/>
      <c r="W611" s="76">
        <v>0</v>
      </c>
      <c r="X611" s="76"/>
      <c r="Y611" s="76">
        <v>0</v>
      </c>
      <c r="Z611" s="76"/>
      <c r="AA611" s="76">
        <v>0</v>
      </c>
      <c r="AB611" s="76"/>
      <c r="AC611" s="76">
        <v>0</v>
      </c>
      <c r="AD611" s="76"/>
      <c r="AE611" s="76">
        <f t="shared" si="63"/>
        <v>1288858.49</v>
      </c>
      <c r="AF611" s="76"/>
      <c r="AG611" s="76">
        <v>143312.54999999999</v>
      </c>
      <c r="AH611" s="76"/>
      <c r="AI611" s="76">
        <v>1637708.81</v>
      </c>
      <c r="AJ611" s="76"/>
      <c r="AK611" s="76">
        <v>1781021.36</v>
      </c>
      <c r="AL611" s="24">
        <f>+'Gen Rev'!AI611-'Gen Exp'!AE611+'Gen Exp'!AI611-AK611</f>
        <v>0</v>
      </c>
      <c r="AM611" s="41" t="str">
        <f>'Gen Rev'!A611</f>
        <v>South Lebanon</v>
      </c>
      <c r="AN611" s="21" t="str">
        <f t="shared" si="64"/>
        <v>South Lebanon</v>
      </c>
      <c r="AO611" s="21" t="b">
        <f t="shared" si="65"/>
        <v>1</v>
      </c>
    </row>
    <row r="612" spans="1:41" s="31" customFormat="1" ht="12" customHeight="1" x14ac:dyDescent="0.2">
      <c r="A612" s="1" t="s">
        <v>128</v>
      </c>
      <c r="B612" s="1"/>
      <c r="C612" s="1" t="s">
        <v>437</v>
      </c>
      <c r="D612" s="23"/>
      <c r="E612" s="76">
        <v>295787.09999999998</v>
      </c>
      <c r="F612" s="76"/>
      <c r="G612" s="76">
        <v>2105.1</v>
      </c>
      <c r="H612" s="76"/>
      <c r="I612" s="76">
        <v>0</v>
      </c>
      <c r="J612" s="76"/>
      <c r="K612" s="76">
        <v>0</v>
      </c>
      <c r="L612" s="76"/>
      <c r="M612" s="76">
        <v>0</v>
      </c>
      <c r="N612" s="76"/>
      <c r="O612" s="76">
        <v>0</v>
      </c>
      <c r="P612" s="76"/>
      <c r="Q612" s="76">
        <v>80351.42</v>
      </c>
      <c r="R612" s="76"/>
      <c r="S612" s="76">
        <v>31937</v>
      </c>
      <c r="T612" s="76"/>
      <c r="U612" s="76">
        <v>0</v>
      </c>
      <c r="V612" s="76"/>
      <c r="W612" s="76">
        <v>0</v>
      </c>
      <c r="X612" s="76"/>
      <c r="Y612" s="76">
        <v>0</v>
      </c>
      <c r="Z612" s="76"/>
      <c r="AA612" s="76">
        <v>0</v>
      </c>
      <c r="AB612" s="76"/>
      <c r="AC612" s="76">
        <v>1034.05</v>
      </c>
      <c r="AD612" s="76"/>
      <c r="AE612" s="76">
        <f t="shared" si="63"/>
        <v>411214.66999999993</v>
      </c>
      <c r="AF612" s="76"/>
      <c r="AG612" s="76">
        <v>-29699.26</v>
      </c>
      <c r="AH612" s="76"/>
      <c r="AI612" s="76">
        <v>132932.65</v>
      </c>
      <c r="AJ612" s="76"/>
      <c r="AK612" s="76">
        <v>103233.39</v>
      </c>
      <c r="AL612" s="24">
        <f>+'Gen Rev'!AI612-'Gen Exp'!AE612+'Gen Exp'!AI612-AK612</f>
        <v>0</v>
      </c>
      <c r="AM612" s="41" t="str">
        <f>'Gen Rev'!A612</f>
        <v>South Point</v>
      </c>
      <c r="AN612" s="21" t="str">
        <f t="shared" si="64"/>
        <v>South Point</v>
      </c>
      <c r="AO612" s="21" t="b">
        <f t="shared" si="65"/>
        <v>1</v>
      </c>
    </row>
    <row r="613" spans="1:41" s="21" customFormat="1" ht="12" customHeight="1" x14ac:dyDescent="0.2">
      <c r="A613" s="1" t="s">
        <v>369</v>
      </c>
      <c r="B613" s="1"/>
      <c r="C613" s="1" t="s">
        <v>368</v>
      </c>
      <c r="D613" s="1"/>
      <c r="E613" s="76">
        <v>357451</v>
      </c>
      <c r="F613" s="76"/>
      <c r="G613" s="76">
        <v>0</v>
      </c>
      <c r="H613" s="76"/>
      <c r="I613" s="76">
        <v>0</v>
      </c>
      <c r="J613" s="76"/>
      <c r="K613" s="76">
        <v>179770</v>
      </c>
      <c r="L613" s="76"/>
      <c r="M613" s="76">
        <v>0</v>
      </c>
      <c r="N613" s="76"/>
      <c r="O613" s="76">
        <v>0</v>
      </c>
      <c r="P613" s="76"/>
      <c r="Q613" s="76">
        <v>458388</v>
      </c>
      <c r="R613" s="76"/>
      <c r="S613" s="76">
        <v>0</v>
      </c>
      <c r="T613" s="76"/>
      <c r="U613" s="76">
        <v>0</v>
      </c>
      <c r="V613" s="76"/>
      <c r="W613" s="76">
        <v>0</v>
      </c>
      <c r="X613" s="76"/>
      <c r="Y613" s="76">
        <v>1463542</v>
      </c>
      <c r="Z613" s="76"/>
      <c r="AA613" s="76">
        <v>0</v>
      </c>
      <c r="AB613" s="76"/>
      <c r="AC613" s="76">
        <v>0</v>
      </c>
      <c r="AD613" s="76"/>
      <c r="AE613" s="76">
        <f t="shared" si="63"/>
        <v>2459151</v>
      </c>
      <c r="AF613" s="76"/>
      <c r="AG613" s="76">
        <v>507135</v>
      </c>
      <c r="AH613" s="76"/>
      <c r="AI613" s="76">
        <v>871408</v>
      </c>
      <c r="AJ613" s="76"/>
      <c r="AK613" s="76">
        <v>1378543</v>
      </c>
      <c r="AL613" s="24">
        <f>+'Gen Rev'!AI613-'Gen Exp'!AE613+'Gen Exp'!AI613-AK613</f>
        <v>0</v>
      </c>
      <c r="AM613" s="41" t="str">
        <f>'Gen Rev'!A613</f>
        <v>South Russell</v>
      </c>
      <c r="AN613" s="21" t="str">
        <f t="shared" si="64"/>
        <v>South Russell</v>
      </c>
      <c r="AO613" s="21" t="b">
        <f t="shared" si="65"/>
        <v>1</v>
      </c>
    </row>
    <row r="614" spans="1:41" s="21" customFormat="1" ht="12" customHeight="1" x14ac:dyDescent="0.2">
      <c r="A614" s="1" t="s">
        <v>522</v>
      </c>
      <c r="B614" s="1"/>
      <c r="C614" s="1" t="s">
        <v>523</v>
      </c>
      <c r="D614" s="1"/>
      <c r="E614" s="76">
        <v>4945.38</v>
      </c>
      <c r="F614" s="76"/>
      <c r="G614" s="76">
        <v>0</v>
      </c>
      <c r="H614" s="76"/>
      <c r="I614" s="76">
        <v>0</v>
      </c>
      <c r="J614" s="76"/>
      <c r="K614" s="76">
        <v>0</v>
      </c>
      <c r="L614" s="76"/>
      <c r="M614" s="76">
        <v>0</v>
      </c>
      <c r="N614" s="76"/>
      <c r="O614" s="76">
        <v>6929.89</v>
      </c>
      <c r="P614" s="76"/>
      <c r="Q614" s="76">
        <v>14056.48</v>
      </c>
      <c r="R614" s="76"/>
      <c r="S614" s="76">
        <v>0</v>
      </c>
      <c r="T614" s="76"/>
      <c r="U614" s="76">
        <v>0</v>
      </c>
      <c r="V614" s="76"/>
      <c r="W614" s="76">
        <v>0</v>
      </c>
      <c r="X614" s="76"/>
      <c r="Y614" s="76">
        <v>0</v>
      </c>
      <c r="Z614" s="76"/>
      <c r="AA614" s="76">
        <v>0</v>
      </c>
      <c r="AB614" s="76"/>
      <c r="AC614" s="76">
        <v>0</v>
      </c>
      <c r="AD614" s="76"/>
      <c r="AE614" s="76">
        <f t="shared" si="63"/>
        <v>25931.75</v>
      </c>
      <c r="AF614" s="76"/>
      <c r="AG614" s="76">
        <v>-4551.32</v>
      </c>
      <c r="AH614" s="76"/>
      <c r="AI614" s="76">
        <v>93051.31</v>
      </c>
      <c r="AJ614" s="76"/>
      <c r="AK614" s="76">
        <v>88499.99</v>
      </c>
      <c r="AL614" s="24">
        <f>+'Gen Rev'!AI614-'Gen Exp'!AE614+'Gen Exp'!AI614-AK614</f>
        <v>0</v>
      </c>
      <c r="AM614" s="41" t="str">
        <f>'Gen Rev'!A614</f>
        <v>South Salem</v>
      </c>
      <c r="AN614" s="21" t="str">
        <f t="shared" si="64"/>
        <v>South Salem</v>
      </c>
      <c r="AO614" s="21" t="b">
        <f t="shared" si="65"/>
        <v>1</v>
      </c>
    </row>
    <row r="615" spans="1:41" ht="12" customHeight="1" x14ac:dyDescent="0.2">
      <c r="A615" s="1" t="s">
        <v>142</v>
      </c>
      <c r="C615" s="1" t="s">
        <v>778</v>
      </c>
      <c r="E615" s="76">
        <v>3700</v>
      </c>
      <c r="F615" s="76"/>
      <c r="G615" s="76">
        <v>0</v>
      </c>
      <c r="H615" s="76"/>
      <c r="I615" s="76">
        <v>200</v>
      </c>
      <c r="J615" s="76"/>
      <c r="K615" s="76">
        <v>0</v>
      </c>
      <c r="L615" s="76"/>
      <c r="M615" s="76">
        <v>0</v>
      </c>
      <c r="N615" s="76"/>
      <c r="O615" s="76">
        <v>13539.85</v>
      </c>
      <c r="P615" s="76"/>
      <c r="Q615" s="76">
        <v>44643.199999999997</v>
      </c>
      <c r="R615" s="76"/>
      <c r="S615" s="76">
        <v>0</v>
      </c>
      <c r="T615" s="76"/>
      <c r="U615" s="76">
        <v>0</v>
      </c>
      <c r="V615" s="76"/>
      <c r="W615" s="76">
        <v>0</v>
      </c>
      <c r="X615" s="76"/>
      <c r="Y615" s="76">
        <v>0</v>
      </c>
      <c r="Z615" s="76"/>
      <c r="AA615" s="76">
        <v>0</v>
      </c>
      <c r="AB615" s="76"/>
      <c r="AC615" s="76">
        <v>0</v>
      </c>
      <c r="AD615" s="76"/>
      <c r="AE615" s="76">
        <f t="shared" si="63"/>
        <v>62083.049999999996</v>
      </c>
      <c r="AF615" s="76"/>
      <c r="AG615" s="76">
        <v>-22312.36</v>
      </c>
      <c r="AH615" s="76"/>
      <c r="AI615" s="76">
        <v>40327.43</v>
      </c>
      <c r="AJ615" s="76"/>
      <c r="AK615" s="76">
        <v>18015.07</v>
      </c>
      <c r="AL615" s="24">
        <f>+'Gen Rev'!AI615-'Gen Exp'!AE615+'Gen Exp'!AI615-AK615</f>
        <v>0</v>
      </c>
      <c r="AM615" s="41" t="str">
        <f>'Gen Rev'!A615</f>
        <v>South Solon</v>
      </c>
      <c r="AN615" s="21" t="str">
        <f t="shared" si="64"/>
        <v>South Solon</v>
      </c>
      <c r="AO615" s="21" t="b">
        <f t="shared" si="65"/>
        <v>1</v>
      </c>
    </row>
    <row r="616" spans="1:41" s="21" customFormat="1" ht="12" customHeight="1" x14ac:dyDescent="0.2">
      <c r="A616" s="1" t="s">
        <v>35</v>
      </c>
      <c r="B616" s="1"/>
      <c r="C616" s="1" t="s">
        <v>292</v>
      </c>
      <c r="D616" s="23"/>
      <c r="E616" s="76">
        <v>66723.31</v>
      </c>
      <c r="F616" s="76"/>
      <c r="G616" s="76">
        <v>0</v>
      </c>
      <c r="H616" s="76"/>
      <c r="I616" s="76">
        <v>2313.71</v>
      </c>
      <c r="J616" s="76"/>
      <c r="K616" s="76">
        <v>0</v>
      </c>
      <c r="L616" s="76"/>
      <c r="M616" s="76">
        <v>2474.46</v>
      </c>
      <c r="N616" s="76"/>
      <c r="O616" s="76">
        <v>0</v>
      </c>
      <c r="P616" s="76"/>
      <c r="Q616" s="76">
        <v>41282.720000000001</v>
      </c>
      <c r="R616" s="76"/>
      <c r="S616" s="76">
        <v>0</v>
      </c>
      <c r="T616" s="76"/>
      <c r="U616" s="76">
        <v>0</v>
      </c>
      <c r="V616" s="76"/>
      <c r="W616" s="76">
        <v>0</v>
      </c>
      <c r="X616" s="76"/>
      <c r="Y616" s="76">
        <v>0</v>
      </c>
      <c r="Z616" s="76"/>
      <c r="AA616" s="76">
        <v>0</v>
      </c>
      <c r="AB616" s="76"/>
      <c r="AC616" s="76">
        <v>0</v>
      </c>
      <c r="AD616" s="76"/>
      <c r="AE616" s="76">
        <f t="shared" si="63"/>
        <v>112794.20000000001</v>
      </c>
      <c r="AF616" s="76"/>
      <c r="AG616" s="76">
        <v>-28594.33</v>
      </c>
      <c r="AH616" s="76"/>
      <c r="AI616" s="76">
        <v>291331.32</v>
      </c>
      <c r="AJ616" s="76"/>
      <c r="AK616" s="76">
        <v>262736.99</v>
      </c>
      <c r="AL616" s="24">
        <f>+'Gen Rev'!AI616-'Gen Exp'!AE616+'Gen Exp'!AI616-AK616</f>
        <v>0</v>
      </c>
      <c r="AM616" s="41" t="str">
        <f>'Gen Rev'!A616</f>
        <v>South Vienna</v>
      </c>
      <c r="AN616" s="21" t="str">
        <f t="shared" si="64"/>
        <v>South Vienna</v>
      </c>
      <c r="AO616" s="21" t="b">
        <f t="shared" si="65"/>
        <v>1</v>
      </c>
    </row>
    <row r="617" spans="1:41" ht="12" customHeight="1" x14ac:dyDescent="0.2">
      <c r="A617" s="1" t="s">
        <v>217</v>
      </c>
      <c r="C617" s="1" t="s">
        <v>529</v>
      </c>
      <c r="D617" s="23"/>
      <c r="E617" s="76">
        <v>201.53</v>
      </c>
      <c r="F617" s="76"/>
      <c r="G617" s="76">
        <v>3132.13</v>
      </c>
      <c r="H617" s="76"/>
      <c r="I617" s="76">
        <v>0</v>
      </c>
      <c r="J617" s="76"/>
      <c r="K617" s="76">
        <v>0</v>
      </c>
      <c r="L617" s="76"/>
      <c r="M617" s="76">
        <v>2918.52</v>
      </c>
      <c r="N617" s="76"/>
      <c r="O617" s="76">
        <v>0</v>
      </c>
      <c r="P617" s="76"/>
      <c r="Q617" s="76">
        <v>17611.560000000001</v>
      </c>
      <c r="R617" s="76"/>
      <c r="S617" s="76">
        <v>0</v>
      </c>
      <c r="T617" s="76"/>
      <c r="U617" s="76">
        <v>0</v>
      </c>
      <c r="V617" s="76"/>
      <c r="W617" s="76">
        <v>0</v>
      </c>
      <c r="X617" s="76"/>
      <c r="Y617" s="76">
        <v>0</v>
      </c>
      <c r="Z617" s="76"/>
      <c r="AA617" s="76">
        <v>0</v>
      </c>
      <c r="AB617" s="76"/>
      <c r="AC617" s="76">
        <v>0</v>
      </c>
      <c r="AD617" s="76"/>
      <c r="AE617" s="76">
        <f t="shared" si="63"/>
        <v>23863.74</v>
      </c>
      <c r="AF617" s="76"/>
      <c r="AG617" s="76">
        <v>5893.11</v>
      </c>
      <c r="AH617" s="76"/>
      <c r="AI617" s="76">
        <v>978.68</v>
      </c>
      <c r="AJ617" s="76"/>
      <c r="AK617" s="76">
        <v>6871.79</v>
      </c>
      <c r="AL617" s="24">
        <f>+'Gen Rev'!AI617-'Gen Exp'!AE617+'Gen Exp'!AI617-AK617</f>
        <v>0</v>
      </c>
      <c r="AM617" s="41" t="str">
        <f>'Gen Rev'!A617</f>
        <v>South Webster</v>
      </c>
      <c r="AN617" s="21" t="str">
        <f t="shared" si="64"/>
        <v>South Webster</v>
      </c>
      <c r="AO617" s="21" t="b">
        <f t="shared" si="65"/>
        <v>1</v>
      </c>
    </row>
    <row r="618" spans="1:41" s="21" customFormat="1" ht="12" customHeight="1" x14ac:dyDescent="0.2">
      <c r="A618" s="1" t="s">
        <v>827</v>
      </c>
      <c r="B618" s="1"/>
      <c r="C618" s="1" t="s">
        <v>243</v>
      </c>
      <c r="D618" s="23"/>
      <c r="E618" s="76">
        <v>3501.14</v>
      </c>
      <c r="F618" s="76"/>
      <c r="G618" s="76">
        <v>0</v>
      </c>
      <c r="H618" s="76"/>
      <c r="I618" s="76">
        <v>0</v>
      </c>
      <c r="J618" s="76"/>
      <c r="K618" s="76">
        <v>0</v>
      </c>
      <c r="L618" s="76"/>
      <c r="M618" s="76">
        <v>0</v>
      </c>
      <c r="N618" s="76"/>
      <c r="O618" s="76">
        <v>0</v>
      </c>
      <c r="P618" s="76"/>
      <c r="Q618" s="76">
        <v>14469.91</v>
      </c>
      <c r="R618" s="76"/>
      <c r="S618" s="76">
        <v>0</v>
      </c>
      <c r="T618" s="76"/>
      <c r="U618" s="76">
        <v>0</v>
      </c>
      <c r="V618" s="76"/>
      <c r="W618" s="76">
        <v>0</v>
      </c>
      <c r="X618" s="76"/>
      <c r="Y618" s="76">
        <v>0</v>
      </c>
      <c r="Z618" s="76"/>
      <c r="AA618" s="76">
        <v>0</v>
      </c>
      <c r="AB618" s="76"/>
      <c r="AC618" s="76">
        <v>0</v>
      </c>
      <c r="AD618" s="76"/>
      <c r="AE618" s="76">
        <f t="shared" si="63"/>
        <v>17971.05</v>
      </c>
      <c r="AF618" s="76"/>
      <c r="AG618" s="76">
        <v>8870.2900000000009</v>
      </c>
      <c r="AH618" s="76"/>
      <c r="AI618" s="76">
        <v>26317.59</v>
      </c>
      <c r="AJ618" s="76"/>
      <c r="AK618" s="76">
        <v>35187.879999999997</v>
      </c>
      <c r="AL618" s="24">
        <f>+'Gen Rev'!AI618-'Gen Exp'!AE618+'Gen Exp'!AI618-AK618</f>
        <v>0</v>
      </c>
      <c r="AM618" s="41" t="str">
        <f>'Gen Rev'!A618</f>
        <v>Sparta</v>
      </c>
      <c r="AN618" s="21" t="str">
        <f t="shared" si="64"/>
        <v>Sparta</v>
      </c>
      <c r="AO618" s="21" t="b">
        <f t="shared" si="65"/>
        <v>1</v>
      </c>
    </row>
    <row r="619" spans="1:41" ht="12" customHeight="1" x14ac:dyDescent="0.2">
      <c r="A619" s="1" t="s">
        <v>843</v>
      </c>
      <c r="C619" s="1" t="s">
        <v>781</v>
      </c>
      <c r="D619" s="23"/>
      <c r="E619" s="76">
        <v>8324.24</v>
      </c>
      <c r="F619" s="76"/>
      <c r="G619" s="76">
        <v>0</v>
      </c>
      <c r="H619" s="76"/>
      <c r="I619" s="76">
        <v>18358.22</v>
      </c>
      <c r="J619" s="76"/>
      <c r="K619" s="76">
        <v>2770.8</v>
      </c>
      <c r="L619" s="76"/>
      <c r="M619" s="76">
        <v>519.96</v>
      </c>
      <c r="N619" s="76"/>
      <c r="O619" s="76">
        <v>0</v>
      </c>
      <c r="P619" s="76"/>
      <c r="Q619" s="76">
        <v>101589.26</v>
      </c>
      <c r="R619" s="76"/>
      <c r="S619" s="76">
        <v>0</v>
      </c>
      <c r="T619" s="76"/>
      <c r="U619" s="76">
        <v>0</v>
      </c>
      <c r="V619" s="76"/>
      <c r="W619" s="76">
        <v>0</v>
      </c>
      <c r="X619" s="76"/>
      <c r="Y619" s="76">
        <v>0</v>
      </c>
      <c r="Z619" s="76"/>
      <c r="AA619" s="76">
        <v>0</v>
      </c>
      <c r="AB619" s="76"/>
      <c r="AC619" s="76">
        <v>0</v>
      </c>
      <c r="AD619" s="76"/>
      <c r="AE619" s="76">
        <f t="shared" si="63"/>
        <v>131562.47999999998</v>
      </c>
      <c r="AF619" s="76"/>
      <c r="AG619" s="76">
        <v>37481.629999999997</v>
      </c>
      <c r="AH619" s="76"/>
      <c r="AI619" s="76">
        <v>172658.59</v>
      </c>
      <c r="AJ619" s="76"/>
      <c r="AK619" s="76">
        <v>210140.22</v>
      </c>
      <c r="AL619" s="24">
        <f>+'Gen Rev'!AI619-'Gen Exp'!AE619+'Gen Exp'!AI619-AK619</f>
        <v>0</v>
      </c>
      <c r="AM619" s="41" t="str">
        <f>'Gen Rev'!A619</f>
        <v>Spencer</v>
      </c>
      <c r="AN619" s="21" t="str">
        <f t="shared" si="64"/>
        <v>Spencer</v>
      </c>
      <c r="AO619" s="21" t="b">
        <f t="shared" si="65"/>
        <v>1</v>
      </c>
    </row>
    <row r="620" spans="1:41" s="21" customFormat="1" ht="12" customHeight="1" x14ac:dyDescent="0.2">
      <c r="A620" s="1" t="s">
        <v>6</v>
      </c>
      <c r="B620" s="1"/>
      <c r="C620" s="1" t="s">
        <v>737</v>
      </c>
      <c r="D620" s="1"/>
      <c r="E620" s="76">
        <v>366335.3</v>
      </c>
      <c r="F620" s="76"/>
      <c r="G620" s="76">
        <v>5850.79</v>
      </c>
      <c r="H620" s="76"/>
      <c r="I620" s="76">
        <v>2457.46</v>
      </c>
      <c r="J620" s="76"/>
      <c r="K620" s="76">
        <v>0</v>
      </c>
      <c r="L620" s="76"/>
      <c r="M620" s="76">
        <v>0</v>
      </c>
      <c r="N620" s="76"/>
      <c r="O620" s="76">
        <v>0</v>
      </c>
      <c r="P620" s="76"/>
      <c r="Q620" s="76">
        <v>91603.59</v>
      </c>
      <c r="R620" s="76"/>
      <c r="S620" s="76">
        <v>0</v>
      </c>
      <c r="T620" s="76"/>
      <c r="U620" s="76">
        <v>0</v>
      </c>
      <c r="V620" s="76"/>
      <c r="W620" s="76">
        <v>0</v>
      </c>
      <c r="X620" s="76"/>
      <c r="Y620" s="76">
        <v>10000</v>
      </c>
      <c r="Z620" s="76"/>
      <c r="AA620" s="76">
        <v>0</v>
      </c>
      <c r="AB620" s="76"/>
      <c r="AC620" s="76">
        <v>0</v>
      </c>
      <c r="AD620" s="76"/>
      <c r="AE620" s="76">
        <f t="shared" si="63"/>
        <v>476247.14</v>
      </c>
      <c r="AF620" s="76"/>
      <c r="AG620" s="76">
        <v>-35006.31</v>
      </c>
      <c r="AH620" s="76"/>
      <c r="AI620" s="76">
        <v>193472.66</v>
      </c>
      <c r="AJ620" s="76"/>
      <c r="AK620" s="76">
        <v>158466.35</v>
      </c>
      <c r="AL620" s="24">
        <f>+'Gen Rev'!AI620-'Gen Exp'!AE620+'Gen Exp'!AI620-AK620</f>
        <v>0</v>
      </c>
      <c r="AM620" s="41" t="str">
        <f>'Gen Rev'!A620</f>
        <v>Spencerville</v>
      </c>
      <c r="AN620" s="21" t="str">
        <f t="shared" si="64"/>
        <v>Spencerville</v>
      </c>
      <c r="AO620" s="21" t="b">
        <f t="shared" si="65"/>
        <v>1</v>
      </c>
    </row>
    <row r="621" spans="1:41" s="21" customFormat="1" ht="12" customHeight="1" x14ac:dyDescent="0.2">
      <c r="A621" s="1" t="s">
        <v>85</v>
      </c>
      <c r="B621" s="1"/>
      <c r="C621" s="1" t="s">
        <v>761</v>
      </c>
      <c r="D621" s="1"/>
      <c r="E621" s="76">
        <v>10204.68</v>
      </c>
      <c r="F621" s="76"/>
      <c r="G621" s="76">
        <v>910.33</v>
      </c>
      <c r="H621" s="76"/>
      <c r="I621" s="76">
        <v>0</v>
      </c>
      <c r="J621" s="76"/>
      <c r="K621" s="76">
        <v>625</v>
      </c>
      <c r="L621" s="76"/>
      <c r="M621" s="76">
        <v>3888.18</v>
      </c>
      <c r="N621" s="76"/>
      <c r="O621" s="76">
        <v>26007.1</v>
      </c>
      <c r="P621" s="76"/>
      <c r="Q621" s="76">
        <v>35868.54</v>
      </c>
      <c r="R621" s="76"/>
      <c r="S621" s="76">
        <v>0</v>
      </c>
      <c r="T621" s="76"/>
      <c r="U621" s="76">
        <v>0</v>
      </c>
      <c r="V621" s="76"/>
      <c r="W621" s="76">
        <v>0</v>
      </c>
      <c r="X621" s="76"/>
      <c r="Y621" s="76">
        <v>0</v>
      </c>
      <c r="Z621" s="76"/>
      <c r="AA621" s="76">
        <v>0</v>
      </c>
      <c r="AB621" s="76"/>
      <c r="AC621" s="76">
        <v>0</v>
      </c>
      <c r="AD621" s="76"/>
      <c r="AE621" s="76">
        <f t="shared" si="63"/>
        <v>77503.83</v>
      </c>
      <c r="AF621" s="76"/>
      <c r="AG621" s="76">
        <v>9111.86</v>
      </c>
      <c r="AH621" s="76"/>
      <c r="AI621" s="76">
        <v>102701.62</v>
      </c>
      <c r="AJ621" s="76"/>
      <c r="AK621" s="76">
        <v>111813.48</v>
      </c>
      <c r="AL621" s="24">
        <f>+'Gen Rev'!AI621-'Gen Exp'!AE621+'Gen Exp'!AI621-AK621</f>
        <v>0</v>
      </c>
      <c r="AM621" s="41" t="str">
        <f>'Gen Rev'!A621</f>
        <v>Spring Valley</v>
      </c>
      <c r="AN621" s="21" t="str">
        <f t="shared" si="64"/>
        <v>Spring Valley</v>
      </c>
      <c r="AO621" s="21" t="b">
        <f t="shared" si="65"/>
        <v>1</v>
      </c>
    </row>
    <row r="622" spans="1:41" s="21" customFormat="1" ht="12" customHeight="1" x14ac:dyDescent="0.2">
      <c r="A622" s="1" t="s">
        <v>966</v>
      </c>
      <c r="B622" s="1"/>
      <c r="C622" s="1" t="s">
        <v>378</v>
      </c>
      <c r="D622" s="23"/>
      <c r="E622" s="76">
        <v>4663131</v>
      </c>
      <c r="F622" s="76"/>
      <c r="G622" s="76">
        <v>66077</v>
      </c>
      <c r="H622" s="76"/>
      <c r="I622" s="76">
        <v>160821</v>
      </c>
      <c r="J622" s="76"/>
      <c r="K622" s="76">
        <v>0</v>
      </c>
      <c r="L622" s="76"/>
      <c r="M622" s="76">
        <v>0</v>
      </c>
      <c r="N622" s="76"/>
      <c r="O622" s="76">
        <v>117759</v>
      </c>
      <c r="P622" s="76"/>
      <c r="Q622" s="76">
        <f>7178729+1827848</f>
        <v>9006577</v>
      </c>
      <c r="R622" s="76"/>
      <c r="S622" s="76">
        <v>0</v>
      </c>
      <c r="T622" s="76"/>
      <c r="U622" s="76">
        <v>0</v>
      </c>
      <c r="V622" s="76"/>
      <c r="W622" s="76">
        <v>2241</v>
      </c>
      <c r="X622" s="76"/>
      <c r="Y622" s="76">
        <v>2365155</v>
      </c>
      <c r="Z622" s="76"/>
      <c r="AA622" s="76">
        <v>0</v>
      </c>
      <c r="AB622" s="76"/>
      <c r="AC622" s="76">
        <v>0</v>
      </c>
      <c r="AD622" s="76"/>
      <c r="AE622" s="76">
        <f t="shared" si="63"/>
        <v>16381761</v>
      </c>
      <c r="AF622" s="76"/>
      <c r="AG622" s="76">
        <v>-1461661</v>
      </c>
      <c r="AH622" s="76"/>
      <c r="AI622" s="76">
        <f>3866723-12846</f>
        <v>3853877</v>
      </c>
      <c r="AJ622" s="76"/>
      <c r="AK622" s="76">
        <v>2392216</v>
      </c>
      <c r="AL622" s="24">
        <f>+'Gen Rev'!AI622-'Gen Exp'!AE622+'Gen Exp'!AI622-AK622</f>
        <v>0</v>
      </c>
      <c r="AM622" s="41" t="str">
        <f>'Gen Rev'!A622</f>
        <v>St. Bernard</v>
      </c>
      <c r="AN622" s="21" t="str">
        <f t="shared" si="64"/>
        <v>St. Bernard</v>
      </c>
      <c r="AO622" s="21" t="b">
        <f t="shared" si="65"/>
        <v>1</v>
      </c>
    </row>
    <row r="623" spans="1:41" s="21" customFormat="1" ht="12" customHeight="1" x14ac:dyDescent="0.2">
      <c r="A623" s="1" t="s">
        <v>443</v>
      </c>
      <c r="B623" s="1"/>
      <c r="C623" s="1" t="s">
        <v>439</v>
      </c>
      <c r="D623" s="1"/>
      <c r="E623" s="76">
        <v>37205</v>
      </c>
      <c r="F623" s="76"/>
      <c r="G623" s="76">
        <v>730</v>
      </c>
      <c r="H623" s="76"/>
      <c r="I623" s="76">
        <v>3886</v>
      </c>
      <c r="J623" s="76"/>
      <c r="K623" s="76">
        <v>889</v>
      </c>
      <c r="L623" s="76"/>
      <c r="M623" s="76">
        <v>0</v>
      </c>
      <c r="N623" s="76"/>
      <c r="O623" s="76">
        <v>0</v>
      </c>
      <c r="P623" s="76"/>
      <c r="Q623" s="76">
        <v>40510</v>
      </c>
      <c r="R623" s="76"/>
      <c r="S623" s="76">
        <v>0</v>
      </c>
      <c r="T623" s="76"/>
      <c r="U623" s="76">
        <v>0</v>
      </c>
      <c r="V623" s="76"/>
      <c r="W623" s="76">
        <v>0</v>
      </c>
      <c r="X623" s="76"/>
      <c r="Y623" s="76">
        <v>0</v>
      </c>
      <c r="Z623" s="76"/>
      <c r="AA623" s="76">
        <v>0</v>
      </c>
      <c r="AB623" s="76"/>
      <c r="AC623" s="76">
        <v>0</v>
      </c>
      <c r="AD623" s="76"/>
      <c r="AE623" s="76">
        <f t="shared" si="63"/>
        <v>83220</v>
      </c>
      <c r="AF623" s="76"/>
      <c r="AG623" s="76">
        <v>3497</v>
      </c>
      <c r="AH623" s="76"/>
      <c r="AI623" s="76">
        <f>AK623-AG623</f>
        <v>2963</v>
      </c>
      <c r="AJ623" s="76"/>
      <c r="AK623" s="76">
        <v>6460</v>
      </c>
      <c r="AL623" s="24">
        <f>+'Gen Rev'!AI623-'Gen Exp'!AE623+'Gen Exp'!AI623-AK623</f>
        <v>0</v>
      </c>
      <c r="AM623" s="41" t="str">
        <f>'Gen Rev'!A623</f>
        <v>St. Louisville</v>
      </c>
      <c r="AN623" s="21" t="str">
        <f t="shared" si="64"/>
        <v>St. Louisville</v>
      </c>
      <c r="AO623" s="21" t="b">
        <f t="shared" si="65"/>
        <v>1</v>
      </c>
    </row>
    <row r="624" spans="1:41" ht="12" customHeight="1" x14ac:dyDescent="0.2">
      <c r="A624" s="1" t="s">
        <v>33</v>
      </c>
      <c r="C624" s="1" t="s">
        <v>745</v>
      </c>
      <c r="E624" s="76">
        <v>255089.82</v>
      </c>
      <c r="F624" s="76"/>
      <c r="G624" s="76">
        <v>0</v>
      </c>
      <c r="H624" s="76"/>
      <c r="I624" s="76">
        <v>0</v>
      </c>
      <c r="J624" s="76"/>
      <c r="K624" s="76">
        <v>148.4</v>
      </c>
      <c r="L624" s="76"/>
      <c r="M624" s="76">
        <v>0</v>
      </c>
      <c r="N624" s="76"/>
      <c r="O624" s="76">
        <v>0</v>
      </c>
      <c r="P624" s="76"/>
      <c r="Q624" s="76">
        <v>114500.92</v>
      </c>
      <c r="R624" s="76"/>
      <c r="S624" s="76">
        <v>0</v>
      </c>
      <c r="T624" s="76"/>
      <c r="U624" s="76">
        <v>7630</v>
      </c>
      <c r="V624" s="76"/>
      <c r="W624" s="76">
        <v>0</v>
      </c>
      <c r="X624" s="76"/>
      <c r="Y624" s="76">
        <v>10500</v>
      </c>
      <c r="Z624" s="76"/>
      <c r="AA624" s="76">
        <v>0</v>
      </c>
      <c r="AB624" s="76"/>
      <c r="AC624" s="76">
        <v>0</v>
      </c>
      <c r="AD624" s="76"/>
      <c r="AE624" s="76">
        <f t="shared" si="63"/>
        <v>387869.14</v>
      </c>
      <c r="AF624" s="76"/>
      <c r="AG624" s="76">
        <v>35982.39</v>
      </c>
      <c r="AH624" s="76"/>
      <c r="AI624" s="76">
        <v>22136.71</v>
      </c>
      <c r="AJ624" s="76"/>
      <c r="AK624" s="76">
        <v>58119.1</v>
      </c>
      <c r="AL624" s="24">
        <f>+'Gen Rev'!AI624-'Gen Exp'!AE624+'Gen Exp'!AI624-AK624</f>
        <v>0</v>
      </c>
      <c r="AM624" s="41" t="str">
        <f>'Gen Rev'!A624</f>
        <v>St. Paris</v>
      </c>
      <c r="AN624" s="21" t="str">
        <f t="shared" si="64"/>
        <v>St. Paris</v>
      </c>
      <c r="AO624" s="21" t="b">
        <f t="shared" si="65"/>
        <v>1</v>
      </c>
    </row>
    <row r="625" spans="1:41" ht="12" customHeight="1" x14ac:dyDescent="0.2">
      <c r="A625" s="1" t="s">
        <v>477</v>
      </c>
      <c r="C625" s="1" t="s">
        <v>474</v>
      </c>
      <c r="E625" s="76">
        <v>3437</v>
      </c>
      <c r="F625" s="76"/>
      <c r="G625" s="76">
        <v>289</v>
      </c>
      <c r="H625" s="76"/>
      <c r="I625" s="76">
        <v>0</v>
      </c>
      <c r="J625" s="76"/>
      <c r="K625" s="76">
        <v>0</v>
      </c>
      <c r="L625" s="76"/>
      <c r="M625" s="76">
        <v>0</v>
      </c>
      <c r="N625" s="76"/>
      <c r="O625" s="76">
        <v>0</v>
      </c>
      <c r="P625" s="76"/>
      <c r="Q625" s="76">
        <v>2609</v>
      </c>
      <c r="R625" s="76"/>
      <c r="S625" s="76">
        <v>0</v>
      </c>
      <c r="T625" s="76"/>
      <c r="U625" s="76">
        <v>0</v>
      </c>
      <c r="V625" s="76"/>
      <c r="W625" s="76">
        <v>0</v>
      </c>
      <c r="X625" s="76"/>
      <c r="Y625" s="76">
        <v>0</v>
      </c>
      <c r="Z625" s="76"/>
      <c r="AA625" s="76">
        <v>0</v>
      </c>
      <c r="AB625" s="76"/>
      <c r="AC625" s="76">
        <v>0</v>
      </c>
      <c r="AD625" s="76"/>
      <c r="AE625" s="76">
        <f t="shared" si="63"/>
        <v>6335</v>
      </c>
      <c r="AF625" s="76"/>
      <c r="AG625" s="76">
        <v>1622</v>
      </c>
      <c r="AH625" s="76"/>
      <c r="AI625" s="76">
        <v>5385</v>
      </c>
      <c r="AJ625" s="76"/>
      <c r="AK625" s="76">
        <v>7007</v>
      </c>
      <c r="AL625" s="24">
        <f>+'Gen Rev'!AI625-'Gen Exp'!AE625+'Gen Exp'!AI625-AK625</f>
        <v>0</v>
      </c>
      <c r="AM625" s="41" t="str">
        <f>'Gen Rev'!A625</f>
        <v>Stafford</v>
      </c>
      <c r="AN625" s="21" t="str">
        <f t="shared" si="64"/>
        <v>Stafford</v>
      </c>
      <c r="AO625" s="21" t="b">
        <f t="shared" si="65"/>
        <v>1</v>
      </c>
    </row>
    <row r="626" spans="1:41" ht="12" customHeight="1" x14ac:dyDescent="0.2">
      <c r="A626" s="1" t="s">
        <v>169</v>
      </c>
      <c r="C626" s="1" t="s">
        <v>787</v>
      </c>
      <c r="D626" s="23"/>
      <c r="E626" s="76">
        <v>3536.09</v>
      </c>
      <c r="F626" s="76"/>
      <c r="G626" s="76">
        <v>3778.1</v>
      </c>
      <c r="H626" s="76"/>
      <c r="I626" s="76">
        <v>2667.02</v>
      </c>
      <c r="J626" s="76"/>
      <c r="K626" s="76">
        <v>0</v>
      </c>
      <c r="L626" s="76"/>
      <c r="M626" s="76">
        <v>380</v>
      </c>
      <c r="N626" s="76"/>
      <c r="O626" s="76">
        <v>0</v>
      </c>
      <c r="P626" s="76"/>
      <c r="Q626" s="76">
        <v>52768.480000000003</v>
      </c>
      <c r="R626" s="76"/>
      <c r="S626" s="76">
        <v>0</v>
      </c>
      <c r="T626" s="76"/>
      <c r="U626" s="76">
        <v>2134.1999999999998</v>
      </c>
      <c r="V626" s="76"/>
      <c r="W626" s="76">
        <v>600</v>
      </c>
      <c r="X626" s="76"/>
      <c r="Y626" s="76">
        <v>0</v>
      </c>
      <c r="Z626" s="76"/>
      <c r="AA626" s="76">
        <v>0</v>
      </c>
      <c r="AB626" s="76"/>
      <c r="AC626" s="76">
        <v>0</v>
      </c>
      <c r="AD626" s="76"/>
      <c r="AE626" s="76">
        <f t="shared" si="63"/>
        <v>65863.89</v>
      </c>
      <c r="AF626" s="76"/>
      <c r="AG626" s="76">
        <v>692.72</v>
      </c>
      <c r="AH626" s="76"/>
      <c r="AI626" s="76">
        <v>10612.55</v>
      </c>
      <c r="AJ626" s="76"/>
      <c r="AK626" s="76">
        <v>11305.27</v>
      </c>
      <c r="AL626" s="24">
        <f>+'Gen Rev'!AI626-'Gen Exp'!AE626+'Gen Exp'!AI626-AK626</f>
        <v>-1.4551915228366852E-11</v>
      </c>
      <c r="AM626" s="41" t="str">
        <f>'Gen Rev'!A626</f>
        <v>Stockport</v>
      </c>
      <c r="AN626" s="21" t="str">
        <f t="shared" si="64"/>
        <v>Stockport</v>
      </c>
      <c r="AO626" s="21" t="b">
        <f t="shared" si="65"/>
        <v>1</v>
      </c>
    </row>
    <row r="627" spans="1:41" ht="12" customHeight="1" x14ac:dyDescent="0.2">
      <c r="A627" s="1" t="s">
        <v>566</v>
      </c>
      <c r="C627" s="1" t="s">
        <v>560</v>
      </c>
      <c r="D627" s="23"/>
      <c r="E627" s="76">
        <v>4076.99</v>
      </c>
      <c r="F627" s="76"/>
      <c r="G627" s="76">
        <v>666.89</v>
      </c>
      <c r="H627" s="76"/>
      <c r="I627" s="76">
        <v>488.04</v>
      </c>
      <c r="J627" s="76"/>
      <c r="K627" s="76">
        <v>321.5</v>
      </c>
      <c r="L627" s="76"/>
      <c r="M627" s="76">
        <v>0</v>
      </c>
      <c r="N627" s="76"/>
      <c r="O627" s="76">
        <v>0</v>
      </c>
      <c r="P627" s="76"/>
      <c r="Q627" s="76">
        <v>24838</v>
      </c>
      <c r="R627" s="76"/>
      <c r="S627" s="76">
        <v>0</v>
      </c>
      <c r="T627" s="76"/>
      <c r="U627" s="76">
        <v>0</v>
      </c>
      <c r="V627" s="76"/>
      <c r="W627" s="76">
        <v>0</v>
      </c>
      <c r="X627" s="76"/>
      <c r="Y627" s="76">
        <v>0</v>
      </c>
      <c r="Z627" s="76"/>
      <c r="AA627" s="76">
        <v>0</v>
      </c>
      <c r="AB627" s="76"/>
      <c r="AC627" s="76">
        <v>27.9</v>
      </c>
      <c r="AD627" s="76"/>
      <c r="AE627" s="76">
        <f t="shared" si="63"/>
        <v>30419.32</v>
      </c>
      <c r="AF627" s="76"/>
      <c r="AG627" s="76">
        <v>-5277.87</v>
      </c>
      <c r="AH627" s="76"/>
      <c r="AI627" s="76">
        <v>9940.75</v>
      </c>
      <c r="AJ627" s="76"/>
      <c r="AK627" s="76">
        <v>4662.88</v>
      </c>
      <c r="AL627" s="24">
        <f>+'Gen Rev'!AI627-'Gen Exp'!AE627+'Gen Exp'!AI627-AK627</f>
        <v>0</v>
      </c>
      <c r="AM627" s="41" t="str">
        <f>'Gen Rev'!A627</f>
        <v>Stone Creek</v>
      </c>
      <c r="AN627" s="21" t="str">
        <f t="shared" si="64"/>
        <v>Stone Creek</v>
      </c>
      <c r="AO627" s="21" t="b">
        <f t="shared" si="65"/>
        <v>1</v>
      </c>
    </row>
    <row r="628" spans="1:41" s="21" customFormat="1" ht="12" customHeight="1" x14ac:dyDescent="0.2">
      <c r="A628" s="1" t="s">
        <v>936</v>
      </c>
      <c r="B628" s="1"/>
      <c r="C628" s="1" t="s">
        <v>350</v>
      </c>
      <c r="D628" s="23"/>
      <c r="E628" s="76">
        <v>3783.6</v>
      </c>
      <c r="F628" s="76"/>
      <c r="G628" s="76">
        <v>1822.26</v>
      </c>
      <c r="H628" s="76"/>
      <c r="I628" s="76">
        <v>9592.7199999999993</v>
      </c>
      <c r="J628" s="76"/>
      <c r="K628" s="76">
        <v>0</v>
      </c>
      <c r="L628" s="76"/>
      <c r="M628" s="76">
        <v>0</v>
      </c>
      <c r="N628" s="76"/>
      <c r="O628" s="76">
        <v>0</v>
      </c>
      <c r="P628" s="76"/>
      <c r="Q628" s="76">
        <v>28390.560000000001</v>
      </c>
      <c r="R628" s="76"/>
      <c r="S628" s="76">
        <v>0</v>
      </c>
      <c r="T628" s="76"/>
      <c r="U628" s="76">
        <v>3173.94</v>
      </c>
      <c r="V628" s="76"/>
      <c r="W628" s="76">
        <v>1212.02</v>
      </c>
      <c r="X628" s="76"/>
      <c r="Y628" s="76">
        <v>0</v>
      </c>
      <c r="Z628" s="76"/>
      <c r="AA628" s="76">
        <v>0</v>
      </c>
      <c r="AB628" s="76"/>
      <c r="AC628" s="76">
        <v>0</v>
      </c>
      <c r="AD628" s="76"/>
      <c r="AE628" s="76">
        <f t="shared" si="63"/>
        <v>47975.1</v>
      </c>
      <c r="AF628" s="76"/>
      <c r="AG628" s="76">
        <v>-3340.65</v>
      </c>
      <c r="AH628" s="76"/>
      <c r="AI628" s="76">
        <v>45427.7</v>
      </c>
      <c r="AJ628" s="76"/>
      <c r="AK628" s="76">
        <v>42087.05</v>
      </c>
      <c r="AL628" s="24">
        <f>+'Gen Rev'!AI628-'Gen Exp'!AE628+'Gen Exp'!AI628-AK628</f>
        <v>0</v>
      </c>
      <c r="AM628" s="41" t="str">
        <f>'Gen Rev'!A628</f>
        <v>Stoutsville</v>
      </c>
      <c r="AN628" s="21" t="str">
        <f t="shared" si="64"/>
        <v>Stoutsville</v>
      </c>
      <c r="AO628" s="21" t="b">
        <f t="shared" si="65"/>
        <v>1</v>
      </c>
    </row>
    <row r="629" spans="1:41" ht="12" customHeight="1" x14ac:dyDescent="0.2">
      <c r="A629" s="1" t="s">
        <v>567</v>
      </c>
      <c r="C629" s="1" t="s">
        <v>560</v>
      </c>
      <c r="E629" s="76">
        <v>368420</v>
      </c>
      <c r="F629" s="76"/>
      <c r="G629" s="76">
        <v>1904</v>
      </c>
      <c r="H629" s="76"/>
      <c r="I629" s="76">
        <v>0</v>
      </c>
      <c r="J629" s="76"/>
      <c r="K629" s="76">
        <v>4340</v>
      </c>
      <c r="L629" s="76"/>
      <c r="M629" s="76">
        <v>80000</v>
      </c>
      <c r="N629" s="76"/>
      <c r="O629" s="76">
        <v>0</v>
      </c>
      <c r="P629" s="76"/>
      <c r="Q629" s="76">
        <v>182467</v>
      </c>
      <c r="R629" s="76"/>
      <c r="S629" s="76">
        <v>18050</v>
      </c>
      <c r="T629" s="76"/>
      <c r="U629" s="76">
        <v>0</v>
      </c>
      <c r="V629" s="76"/>
      <c r="W629" s="76">
        <v>0</v>
      </c>
      <c r="X629" s="76"/>
      <c r="Y629" s="76">
        <v>524923</v>
      </c>
      <c r="Z629" s="76"/>
      <c r="AA629" s="76">
        <v>0</v>
      </c>
      <c r="AB629" s="76"/>
      <c r="AC629" s="76">
        <v>2654</v>
      </c>
      <c r="AD629" s="76"/>
      <c r="AE629" s="76">
        <f t="shared" si="63"/>
        <v>1182758</v>
      </c>
      <c r="AF629" s="76"/>
      <c r="AG629" s="76">
        <v>-26321</v>
      </c>
      <c r="AH629" s="76"/>
      <c r="AI629" s="76">
        <v>202250</v>
      </c>
      <c r="AJ629" s="76"/>
      <c r="AK629" s="76">
        <v>175929</v>
      </c>
      <c r="AL629" s="24">
        <f>+'Gen Rev'!AI629-'Gen Exp'!AE629+'Gen Exp'!AI629-AK629</f>
        <v>0</v>
      </c>
      <c r="AM629" s="41" t="str">
        <f>'Gen Rev'!A629</f>
        <v>Strasburg</v>
      </c>
      <c r="AN629" s="21" t="str">
        <f t="shared" si="64"/>
        <v>Strasburg</v>
      </c>
      <c r="AO629" s="21" t="b">
        <f t="shared" si="65"/>
        <v>1</v>
      </c>
    </row>
    <row r="630" spans="1:41" s="21" customFormat="1" ht="12" customHeight="1" x14ac:dyDescent="0.2">
      <c r="A630" s="1" t="s">
        <v>424</v>
      </c>
      <c r="B630" s="1"/>
      <c r="C630" s="1" t="s">
        <v>420</v>
      </c>
      <c r="D630" s="1"/>
      <c r="E630" s="76">
        <v>128598</v>
      </c>
      <c r="F630" s="76"/>
      <c r="G630" s="76">
        <v>36773</v>
      </c>
      <c r="H630" s="76"/>
      <c r="I630" s="76">
        <v>278922</v>
      </c>
      <c r="J630" s="76"/>
      <c r="K630" s="76">
        <v>0</v>
      </c>
      <c r="L630" s="76"/>
      <c r="M630" s="76">
        <v>143828</v>
      </c>
      <c r="N630" s="76"/>
      <c r="O630" s="76">
        <v>132702</v>
      </c>
      <c r="P630" s="76"/>
      <c r="Q630" s="76">
        <v>1228698</v>
      </c>
      <c r="R630" s="76"/>
      <c r="S630" s="76">
        <v>272610</v>
      </c>
      <c r="T630" s="76"/>
      <c r="U630" s="76">
        <v>0</v>
      </c>
      <c r="V630" s="76"/>
      <c r="W630" s="76">
        <v>0</v>
      </c>
      <c r="X630" s="76"/>
      <c r="Y630" s="76">
        <v>0</v>
      </c>
      <c r="Z630" s="76"/>
      <c r="AA630" s="76">
        <v>0</v>
      </c>
      <c r="AB630" s="76"/>
      <c r="AC630" s="76">
        <v>0</v>
      </c>
      <c r="AD630" s="76"/>
      <c r="AE630" s="76">
        <f t="shared" si="63"/>
        <v>2222131</v>
      </c>
      <c r="AF630" s="76"/>
      <c r="AG630" s="76">
        <v>1025715</v>
      </c>
      <c r="AH630" s="76"/>
      <c r="AI630" s="76">
        <v>1626751</v>
      </c>
      <c r="AJ630" s="76"/>
      <c r="AK630" s="76">
        <v>601036</v>
      </c>
      <c r="AL630" s="24">
        <f>+'Gen Rev'!AI630-'Gen Exp'!AE630+'Gen Exp'!AI630-AK630</f>
        <v>0</v>
      </c>
      <c r="AM630" s="41" t="str">
        <f>'Gen Rev'!A630</f>
        <v>Stratton</v>
      </c>
      <c r="AN630" s="21" t="str">
        <f t="shared" si="64"/>
        <v>Stratton</v>
      </c>
      <c r="AO630" s="21" t="b">
        <f t="shared" si="65"/>
        <v>1</v>
      </c>
    </row>
    <row r="631" spans="1:41" s="21" customFormat="1" ht="12" customHeight="1" x14ac:dyDescent="0.2">
      <c r="A631" s="1" t="s">
        <v>598</v>
      </c>
      <c r="B631" s="1"/>
      <c r="C631" s="1" t="s">
        <v>596</v>
      </c>
      <c r="D631" s="1"/>
      <c r="E631" s="76">
        <v>256931</v>
      </c>
      <c r="F631" s="76"/>
      <c r="G631" s="76">
        <v>1749</v>
      </c>
      <c r="H631" s="76"/>
      <c r="I631" s="76">
        <v>4000</v>
      </c>
      <c r="J631" s="76"/>
      <c r="K631" s="76">
        <v>2979</v>
      </c>
      <c r="L631" s="76"/>
      <c r="M631" s="76">
        <v>6558</v>
      </c>
      <c r="N631" s="76"/>
      <c r="O631" s="76">
        <v>0</v>
      </c>
      <c r="P631" s="76"/>
      <c r="Q631" s="76">
        <v>164795</v>
      </c>
      <c r="R631" s="76"/>
      <c r="S631" s="76">
        <v>0</v>
      </c>
      <c r="T631" s="76"/>
      <c r="U631" s="76">
        <v>0</v>
      </c>
      <c r="V631" s="76"/>
      <c r="W631" s="76">
        <v>0</v>
      </c>
      <c r="X631" s="76"/>
      <c r="Y631" s="76">
        <v>0</v>
      </c>
      <c r="Z631" s="76"/>
      <c r="AA631" s="76">
        <v>0</v>
      </c>
      <c r="AB631" s="76"/>
      <c r="AC631" s="76">
        <v>0</v>
      </c>
      <c r="AD631" s="76"/>
      <c r="AE631" s="76">
        <f t="shared" si="63"/>
        <v>437012</v>
      </c>
      <c r="AF631" s="76"/>
      <c r="AG631" s="76">
        <v>56442</v>
      </c>
      <c r="AH631" s="76"/>
      <c r="AI631" s="76">
        <v>151566</v>
      </c>
      <c r="AJ631" s="76"/>
      <c r="AK631" s="76">
        <v>208008</v>
      </c>
      <c r="AL631" s="24">
        <f>+'Gen Rev'!AI631-'Gen Exp'!AE631+'Gen Exp'!AI631-AK631</f>
        <v>0</v>
      </c>
      <c r="AM631" s="41" t="str">
        <f>'Gen Rev'!A631</f>
        <v>Stryker</v>
      </c>
      <c r="AN631" s="21" t="str">
        <f t="shared" si="64"/>
        <v>Stryker</v>
      </c>
      <c r="AO631" s="21" t="b">
        <f t="shared" si="65"/>
        <v>1</v>
      </c>
    </row>
    <row r="632" spans="1:41" s="21" customFormat="1" ht="12" customHeight="1" x14ac:dyDescent="0.2">
      <c r="A632" s="1" t="s">
        <v>196</v>
      </c>
      <c r="B632" s="1"/>
      <c r="C632" s="1" t="s">
        <v>795</v>
      </c>
      <c r="D632" s="23"/>
      <c r="E632" s="76">
        <v>22383.17</v>
      </c>
      <c r="F632" s="76"/>
      <c r="G632" s="76">
        <v>0</v>
      </c>
      <c r="H632" s="76"/>
      <c r="I632" s="76">
        <v>0</v>
      </c>
      <c r="J632" s="76"/>
      <c r="K632" s="76">
        <v>22971.9</v>
      </c>
      <c r="L632" s="76"/>
      <c r="M632" s="76">
        <v>25611</v>
      </c>
      <c r="N632" s="76"/>
      <c r="O632" s="76">
        <v>8400</v>
      </c>
      <c r="P632" s="76"/>
      <c r="Q632" s="76">
        <v>35669.43</v>
      </c>
      <c r="R632" s="76"/>
      <c r="S632" s="76">
        <v>0</v>
      </c>
      <c r="T632" s="76"/>
      <c r="U632" s="76">
        <v>0</v>
      </c>
      <c r="V632" s="76"/>
      <c r="W632" s="76">
        <v>0</v>
      </c>
      <c r="X632" s="76"/>
      <c r="Y632" s="76">
        <v>0</v>
      </c>
      <c r="Z632" s="76"/>
      <c r="AA632" s="76">
        <v>0</v>
      </c>
      <c r="AB632" s="76"/>
      <c r="AC632" s="76">
        <v>0</v>
      </c>
      <c r="AD632" s="76"/>
      <c r="AE632" s="76">
        <f t="shared" si="63"/>
        <v>115035.5</v>
      </c>
      <c r="AF632" s="76"/>
      <c r="AG632" s="76">
        <v>-314.08999999999997</v>
      </c>
      <c r="AH632" s="76"/>
      <c r="AI632" s="76">
        <v>185387.56</v>
      </c>
      <c r="AJ632" s="76"/>
      <c r="AK632" s="76">
        <v>185073.47</v>
      </c>
      <c r="AL632" s="24">
        <f>+'Gen Rev'!AI632-'Gen Exp'!AE632+'Gen Exp'!AI632-AK632</f>
        <v>0</v>
      </c>
      <c r="AM632" s="41" t="str">
        <f>'Gen Rev'!A632</f>
        <v>Sugar Bush Knolls</v>
      </c>
      <c r="AN632" s="21" t="str">
        <f t="shared" si="64"/>
        <v>Sugar Bush Knolls</v>
      </c>
      <c r="AO632" s="21" t="b">
        <f t="shared" si="65"/>
        <v>1</v>
      </c>
    </row>
    <row r="633" spans="1:41" s="21" customFormat="1" ht="12" customHeight="1" x14ac:dyDescent="0.2">
      <c r="A633" s="1" t="s">
        <v>66</v>
      </c>
      <c r="B633" s="1"/>
      <c r="C633" s="1" t="s">
        <v>756</v>
      </c>
      <c r="D633" s="23"/>
      <c r="E633" s="76">
        <v>43613.57</v>
      </c>
      <c r="F633" s="76"/>
      <c r="G633" s="76">
        <v>0</v>
      </c>
      <c r="H633" s="76"/>
      <c r="I633" s="76">
        <v>250</v>
      </c>
      <c r="J633" s="76"/>
      <c r="K633" s="76">
        <v>667</v>
      </c>
      <c r="L633" s="76"/>
      <c r="M633" s="76">
        <v>0</v>
      </c>
      <c r="N633" s="76"/>
      <c r="O633" s="76">
        <v>0</v>
      </c>
      <c r="P633" s="76"/>
      <c r="Q633" s="76">
        <v>85646.32</v>
      </c>
      <c r="R633" s="76"/>
      <c r="S633" s="76">
        <v>0</v>
      </c>
      <c r="T633" s="76"/>
      <c r="U633" s="76">
        <v>0</v>
      </c>
      <c r="V633" s="76"/>
      <c r="W633" s="76">
        <v>0</v>
      </c>
      <c r="X633" s="76"/>
      <c r="Y633" s="76">
        <v>0</v>
      </c>
      <c r="Z633" s="76"/>
      <c r="AA633" s="76">
        <v>0</v>
      </c>
      <c r="AB633" s="76"/>
      <c r="AC633" s="76">
        <v>0</v>
      </c>
      <c r="AD633" s="76"/>
      <c r="AE633" s="76">
        <f t="shared" si="63"/>
        <v>130176.89000000001</v>
      </c>
      <c r="AF633" s="76"/>
      <c r="AG633" s="76">
        <v>30874.87</v>
      </c>
      <c r="AH633" s="76"/>
      <c r="AI633" s="76">
        <v>129093.26</v>
      </c>
      <c r="AJ633" s="76"/>
      <c r="AK633" s="76">
        <v>159968.13</v>
      </c>
      <c r="AL633" s="24">
        <f>+'Gen Rev'!AI633-'Gen Exp'!AE633+'Gen Exp'!AI633-AK633</f>
        <v>0</v>
      </c>
      <c r="AM633" s="41" t="str">
        <f>'Gen Rev'!A633</f>
        <v>Sugar Grove</v>
      </c>
      <c r="AN633" s="21" t="str">
        <f t="shared" si="64"/>
        <v>Sugar Grove</v>
      </c>
      <c r="AO633" s="21" t="b">
        <f t="shared" si="65"/>
        <v>1</v>
      </c>
    </row>
    <row r="634" spans="1:41" s="21" customFormat="1" ht="12" customHeight="1" x14ac:dyDescent="0.2">
      <c r="A634" s="1" t="s">
        <v>568</v>
      </c>
      <c r="B634" s="1"/>
      <c r="C634" s="1" t="s">
        <v>560</v>
      </c>
      <c r="D634" s="1"/>
      <c r="E634" s="76">
        <v>366814</v>
      </c>
      <c r="F634" s="76"/>
      <c r="G634" s="76">
        <v>2227</v>
      </c>
      <c r="H634" s="76"/>
      <c r="I634" s="76">
        <v>18818</v>
      </c>
      <c r="J634" s="76"/>
      <c r="K634" s="76">
        <v>9745</v>
      </c>
      <c r="L634" s="76"/>
      <c r="M634" s="76">
        <v>126827</v>
      </c>
      <c r="N634" s="76"/>
      <c r="O634" s="76">
        <v>6292</v>
      </c>
      <c r="P634" s="76"/>
      <c r="Q634" s="76">
        <v>373221</v>
      </c>
      <c r="R634" s="76"/>
      <c r="S634" s="76">
        <v>161673</v>
      </c>
      <c r="T634" s="76"/>
      <c r="U634" s="76">
        <v>7275</v>
      </c>
      <c r="V634" s="76"/>
      <c r="W634" s="76">
        <v>4671</v>
      </c>
      <c r="X634" s="76"/>
      <c r="Y634" s="76">
        <v>100000</v>
      </c>
      <c r="Z634" s="76"/>
      <c r="AA634" s="76">
        <v>0</v>
      </c>
      <c r="AB634" s="76"/>
      <c r="AC634" s="76">
        <v>10893</v>
      </c>
      <c r="AD634" s="76"/>
      <c r="AE634" s="76">
        <f t="shared" si="63"/>
        <v>1188456</v>
      </c>
      <c r="AF634" s="76"/>
      <c r="AG634" s="76">
        <v>88449</v>
      </c>
      <c r="AH634" s="76"/>
      <c r="AI634" s="76">
        <v>375471</v>
      </c>
      <c r="AJ634" s="76"/>
      <c r="AK634" s="76">
        <v>463920</v>
      </c>
      <c r="AL634" s="24">
        <f>+'Gen Rev'!AI634-'Gen Exp'!AE634+'Gen Exp'!AI634-AK634</f>
        <v>0</v>
      </c>
      <c r="AM634" s="41" t="str">
        <f>'Gen Rev'!A634</f>
        <v>Sugarcreek</v>
      </c>
      <c r="AN634" s="21" t="str">
        <f t="shared" si="64"/>
        <v>Sugarcreek</v>
      </c>
      <c r="AO634" s="21" t="b">
        <f t="shared" si="65"/>
        <v>1</v>
      </c>
    </row>
    <row r="635" spans="1:41" ht="12" customHeight="1" x14ac:dyDescent="0.2">
      <c r="A635" s="1" t="s">
        <v>178</v>
      </c>
      <c r="C635" s="1" t="s">
        <v>790</v>
      </c>
      <c r="E635" s="76">
        <v>5478.94</v>
      </c>
      <c r="F635" s="76"/>
      <c r="G635" s="76">
        <v>0</v>
      </c>
      <c r="H635" s="76"/>
      <c r="I635" s="76">
        <v>2824.48</v>
      </c>
      <c r="J635" s="76"/>
      <c r="K635" s="76">
        <v>0</v>
      </c>
      <c r="L635" s="76"/>
      <c r="M635" s="76">
        <v>403.62</v>
      </c>
      <c r="N635" s="76"/>
      <c r="O635" s="76">
        <v>0</v>
      </c>
      <c r="P635" s="76"/>
      <c r="Q635" s="76">
        <v>16049.47</v>
      </c>
      <c r="R635" s="76"/>
      <c r="S635" s="76">
        <v>0</v>
      </c>
      <c r="T635" s="76"/>
      <c r="U635" s="76">
        <v>0</v>
      </c>
      <c r="V635" s="76"/>
      <c r="W635" s="76">
        <v>0</v>
      </c>
      <c r="X635" s="76"/>
      <c r="Y635" s="76">
        <v>0</v>
      </c>
      <c r="Z635" s="76"/>
      <c r="AA635" s="76">
        <v>0</v>
      </c>
      <c r="AB635" s="76"/>
      <c r="AC635" s="76">
        <v>0</v>
      </c>
      <c r="AD635" s="76"/>
      <c r="AE635" s="76">
        <f t="shared" si="63"/>
        <v>24756.510000000002</v>
      </c>
      <c r="AF635" s="76"/>
      <c r="AG635" s="76">
        <v>-4885.8599999999997</v>
      </c>
      <c r="AH635" s="76"/>
      <c r="AI635" s="76">
        <v>14097.62</v>
      </c>
      <c r="AJ635" s="76"/>
      <c r="AK635" s="76">
        <v>9211.76</v>
      </c>
      <c r="AL635" s="24">
        <f>+'Gen Rev'!AI635-'Gen Exp'!AE635+'Gen Exp'!AI635-AK635</f>
        <v>0</v>
      </c>
      <c r="AM635" s="41" t="str">
        <f>'Gen Rev'!A635</f>
        <v>Summerfield</v>
      </c>
      <c r="AN635" s="21" t="str">
        <f t="shared" si="64"/>
        <v>Summerfield</v>
      </c>
      <c r="AO635" s="21" t="b">
        <f t="shared" si="65"/>
        <v>1</v>
      </c>
    </row>
    <row r="636" spans="1:41" s="21" customFormat="1" ht="12" customHeight="1" x14ac:dyDescent="0.2">
      <c r="A636" s="1" t="s">
        <v>47</v>
      </c>
      <c r="B636" s="1"/>
      <c r="C636" s="1" t="s">
        <v>305</v>
      </c>
      <c r="D636" s="23"/>
      <c r="E636" s="76">
        <v>10567.33</v>
      </c>
      <c r="F636" s="76"/>
      <c r="G636" s="76">
        <v>0</v>
      </c>
      <c r="H636" s="76"/>
      <c r="I636" s="76">
        <v>0</v>
      </c>
      <c r="J636" s="76"/>
      <c r="K636" s="76">
        <v>2819.98</v>
      </c>
      <c r="L636" s="76"/>
      <c r="M636" s="76">
        <v>4557.92</v>
      </c>
      <c r="N636" s="76"/>
      <c r="O636" s="76">
        <v>0</v>
      </c>
      <c r="P636" s="76"/>
      <c r="Q636" s="76">
        <v>9247.91</v>
      </c>
      <c r="R636" s="76"/>
      <c r="S636" s="76">
        <v>0</v>
      </c>
      <c r="T636" s="76"/>
      <c r="U636" s="76">
        <v>0</v>
      </c>
      <c r="V636" s="76"/>
      <c r="W636" s="76">
        <v>0</v>
      </c>
      <c r="X636" s="76"/>
      <c r="Y636" s="76">
        <v>0</v>
      </c>
      <c r="Z636" s="76"/>
      <c r="AA636" s="76">
        <v>0</v>
      </c>
      <c r="AB636" s="76"/>
      <c r="AC636" s="76">
        <v>0</v>
      </c>
      <c r="AD636" s="76"/>
      <c r="AE636" s="76">
        <f t="shared" si="63"/>
        <v>27193.14</v>
      </c>
      <c r="AF636" s="76"/>
      <c r="AG636" s="76">
        <v>7914.41</v>
      </c>
      <c r="AH636" s="76"/>
      <c r="AI636" s="76">
        <v>1286.07</v>
      </c>
      <c r="AJ636" s="76"/>
      <c r="AK636" s="76">
        <v>9200.48</v>
      </c>
      <c r="AL636" s="24">
        <f>+'Gen Rev'!AI636-'Gen Exp'!AE636+'Gen Exp'!AI636-AK636</f>
        <v>0</v>
      </c>
      <c r="AM636" s="41" t="str">
        <f>'Gen Rev'!A636</f>
        <v>Summitville</v>
      </c>
      <c r="AN636" s="21" t="str">
        <f t="shared" si="64"/>
        <v>Summitville</v>
      </c>
      <c r="AO636" s="21" t="b">
        <f t="shared" si="65"/>
        <v>1</v>
      </c>
    </row>
    <row r="637" spans="1:41" s="21" customFormat="1" ht="12" customHeight="1" x14ac:dyDescent="0.2">
      <c r="A637" s="1" t="s">
        <v>346</v>
      </c>
      <c r="B637" s="1"/>
      <c r="C637" s="1" t="s">
        <v>343</v>
      </c>
      <c r="D637" s="1"/>
      <c r="E637" s="76">
        <v>1083455</v>
      </c>
      <c r="F637" s="76"/>
      <c r="G637" s="76">
        <v>0</v>
      </c>
      <c r="H637" s="76"/>
      <c r="I637" s="76">
        <v>0</v>
      </c>
      <c r="J637" s="76"/>
      <c r="K637" s="76">
        <v>109817</v>
      </c>
      <c r="L637" s="76"/>
      <c r="M637" s="76">
        <v>0</v>
      </c>
      <c r="N637" s="76"/>
      <c r="O637" s="76">
        <v>499088</v>
      </c>
      <c r="P637" s="76"/>
      <c r="Q637" s="76">
        <v>602822</v>
      </c>
      <c r="R637" s="76"/>
      <c r="S637" s="76">
        <v>0</v>
      </c>
      <c r="T637" s="76"/>
      <c r="U637" s="76">
        <v>1268500</v>
      </c>
      <c r="V637" s="76"/>
      <c r="W637" s="76">
        <v>26956</v>
      </c>
      <c r="X637" s="76"/>
      <c r="Y637" s="76">
        <v>65293</v>
      </c>
      <c r="Z637" s="76"/>
      <c r="AA637" s="76">
        <v>0</v>
      </c>
      <c r="AB637" s="76"/>
      <c r="AC637" s="76">
        <v>0</v>
      </c>
      <c r="AD637" s="76"/>
      <c r="AE637" s="76">
        <f t="shared" si="63"/>
        <v>3655931</v>
      </c>
      <c r="AF637" s="76"/>
      <c r="AG637" s="76">
        <v>355986</v>
      </c>
      <c r="AH637" s="76"/>
      <c r="AI637" s="76">
        <v>2319854</v>
      </c>
      <c r="AJ637" s="76"/>
      <c r="AK637" s="76">
        <v>2675840</v>
      </c>
      <c r="AL637" s="24">
        <f>+'Gen Rev'!AI637-'Gen Exp'!AE637+'Gen Exp'!AI637-AK637</f>
        <v>0</v>
      </c>
      <c r="AM637" s="41" t="str">
        <f>'Gen Rev'!A637</f>
        <v>Sunbury</v>
      </c>
      <c r="AN637" s="21" t="str">
        <f t="shared" si="64"/>
        <v>Sunbury</v>
      </c>
      <c r="AO637" s="21" t="b">
        <f t="shared" si="65"/>
        <v>1</v>
      </c>
    </row>
    <row r="638" spans="1:41" ht="12" customHeight="1" x14ac:dyDescent="0.2">
      <c r="A638" s="1" t="s">
        <v>362</v>
      </c>
      <c r="C638" s="1" t="s">
        <v>358</v>
      </c>
      <c r="D638" s="23"/>
      <c r="E638" s="76">
        <v>702127.17</v>
      </c>
      <c r="F638" s="76"/>
      <c r="G638" s="76">
        <v>0</v>
      </c>
      <c r="H638" s="76"/>
      <c r="I638" s="76">
        <v>0</v>
      </c>
      <c r="J638" s="76"/>
      <c r="K638" s="76">
        <v>0</v>
      </c>
      <c r="L638" s="76"/>
      <c r="M638" s="76">
        <v>44060.24</v>
      </c>
      <c r="N638" s="76"/>
      <c r="O638" s="76">
        <v>83614.31</v>
      </c>
      <c r="P638" s="76"/>
      <c r="Q638" s="76">
        <v>416218.36</v>
      </c>
      <c r="R638" s="76"/>
      <c r="S638" s="76">
        <v>0</v>
      </c>
      <c r="T638" s="76"/>
      <c r="U638" s="76">
        <v>0</v>
      </c>
      <c r="V638" s="76"/>
      <c r="W638" s="76">
        <v>0</v>
      </c>
      <c r="X638" s="76"/>
      <c r="Y638" s="76">
        <v>425000</v>
      </c>
      <c r="Z638" s="76"/>
      <c r="AA638" s="76">
        <v>0</v>
      </c>
      <c r="AB638" s="76"/>
      <c r="AC638" s="76">
        <v>142961.76</v>
      </c>
      <c r="AD638" s="76"/>
      <c r="AE638" s="76">
        <f t="shared" si="63"/>
        <v>1813981.84</v>
      </c>
      <c r="AF638" s="76"/>
      <c r="AG638" s="76">
        <v>-197090.7</v>
      </c>
      <c r="AH638" s="76"/>
      <c r="AI638" s="76">
        <v>3041931.64</v>
      </c>
      <c r="AJ638" s="76"/>
      <c r="AK638" s="76">
        <v>2844840.94</v>
      </c>
      <c r="AL638" s="24">
        <f>+'Gen Rev'!AI638-'Gen Exp'!AE638+'Gen Exp'!AI638-AK638</f>
        <v>0</v>
      </c>
      <c r="AM638" s="41" t="str">
        <f>'Gen Rev'!A638</f>
        <v>Swanton</v>
      </c>
      <c r="AN638" s="21" t="str">
        <f t="shared" si="64"/>
        <v>Swanton</v>
      </c>
      <c r="AO638" s="21" t="b">
        <f t="shared" si="65"/>
        <v>1</v>
      </c>
    </row>
    <row r="639" spans="1:41" s="15" customFormat="1" ht="12" customHeight="1" x14ac:dyDescent="0.2">
      <c r="A639" s="1" t="s">
        <v>266</v>
      </c>
      <c r="B639" s="1"/>
      <c r="C639" s="1" t="s">
        <v>814</v>
      </c>
      <c r="D639" s="23"/>
      <c r="E639" s="76">
        <v>81784.070000000007</v>
      </c>
      <c r="F639" s="76"/>
      <c r="G639" s="76">
        <v>2380.5</v>
      </c>
      <c r="H639" s="76"/>
      <c r="I639" s="76">
        <v>12506.59</v>
      </c>
      <c r="J639" s="76"/>
      <c r="K639" s="76">
        <v>0</v>
      </c>
      <c r="L639" s="76"/>
      <c r="M639" s="76">
        <v>0</v>
      </c>
      <c r="N639" s="76"/>
      <c r="O639" s="76">
        <v>0</v>
      </c>
      <c r="P639" s="76"/>
      <c r="Q639" s="76">
        <v>70926.720000000001</v>
      </c>
      <c r="R639" s="76"/>
      <c r="S639" s="76">
        <v>0</v>
      </c>
      <c r="T639" s="76"/>
      <c r="U639" s="76">
        <v>0</v>
      </c>
      <c r="V639" s="76"/>
      <c r="W639" s="76">
        <v>0</v>
      </c>
      <c r="X639" s="76"/>
      <c r="Y639" s="76">
        <v>0</v>
      </c>
      <c r="Z639" s="76"/>
      <c r="AA639" s="76">
        <v>0</v>
      </c>
      <c r="AB639" s="76"/>
      <c r="AC639" s="76">
        <v>985.68</v>
      </c>
      <c r="AD639" s="76"/>
      <c r="AE639" s="76">
        <f t="shared" si="63"/>
        <v>168583.56</v>
      </c>
      <c r="AF639" s="76"/>
      <c r="AG639" s="76">
        <v>15827.42</v>
      </c>
      <c r="AH639" s="76"/>
      <c r="AI639" s="76">
        <v>86163.53</v>
      </c>
      <c r="AJ639" s="76"/>
      <c r="AK639" s="76">
        <v>101990.95</v>
      </c>
      <c r="AL639" s="24">
        <f>+'Gen Rev'!AI639-'Gen Exp'!AE639+'Gen Exp'!AI639-AK639</f>
        <v>0</v>
      </c>
      <c r="AM639" s="41" t="str">
        <f>'Gen Rev'!A639</f>
        <v>Sycamore</v>
      </c>
      <c r="AN639" s="21" t="str">
        <f t="shared" si="64"/>
        <v>Sycamore</v>
      </c>
      <c r="AO639" s="21" t="b">
        <f t="shared" ref="AO639:AO670" si="66">AM639=AN639</f>
        <v>1</v>
      </c>
    </row>
    <row r="640" spans="1:41" s="21" customFormat="1" ht="12" customHeight="1" x14ac:dyDescent="0.2">
      <c r="A640" s="1"/>
      <c r="B640" s="1"/>
      <c r="C640" s="1"/>
      <c r="D640" s="23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24"/>
      <c r="AM640" s="41"/>
    </row>
    <row r="641" spans="1:41" s="21" customFormat="1" ht="12" customHeight="1" x14ac:dyDescent="0.2">
      <c r="A641" s="1"/>
      <c r="B641" s="1"/>
      <c r="C641" s="1"/>
      <c r="D641" s="23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 t="s">
        <v>850</v>
      </c>
      <c r="AF641" s="76"/>
      <c r="AG641" s="76"/>
      <c r="AH641" s="76"/>
      <c r="AI641" s="76"/>
      <c r="AJ641" s="76"/>
      <c r="AK641" s="76"/>
      <c r="AL641" s="24"/>
      <c r="AM641" s="41"/>
    </row>
    <row r="642" spans="1:41" s="21" customFormat="1" ht="12" customHeight="1" x14ac:dyDescent="0.2">
      <c r="A642" s="1"/>
      <c r="B642" s="1"/>
      <c r="C642" s="1"/>
      <c r="D642" s="23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24"/>
      <c r="AM642" s="41"/>
    </row>
    <row r="643" spans="1:41" ht="12" customHeight="1" x14ac:dyDescent="0.2">
      <c r="A643" s="1" t="s">
        <v>159</v>
      </c>
      <c r="C643" s="1" t="s">
        <v>782</v>
      </c>
      <c r="E643" s="88">
        <v>21355.45</v>
      </c>
      <c r="F643" s="88"/>
      <c r="G643" s="88">
        <v>0</v>
      </c>
      <c r="H643" s="88"/>
      <c r="I643" s="88">
        <v>14904.41</v>
      </c>
      <c r="J643" s="88"/>
      <c r="K643" s="88">
        <v>0</v>
      </c>
      <c r="L643" s="88"/>
      <c r="M643" s="88">
        <v>0</v>
      </c>
      <c r="N643" s="88"/>
      <c r="O643" s="88">
        <v>0</v>
      </c>
      <c r="P643" s="88"/>
      <c r="Q643" s="88">
        <v>48745.17</v>
      </c>
      <c r="R643" s="88"/>
      <c r="S643" s="88">
        <v>0</v>
      </c>
      <c r="T643" s="88"/>
      <c r="U643" s="88">
        <v>0</v>
      </c>
      <c r="V643" s="88"/>
      <c r="W643" s="88">
        <v>0</v>
      </c>
      <c r="X643" s="88"/>
      <c r="Y643" s="88">
        <v>16000</v>
      </c>
      <c r="Z643" s="88"/>
      <c r="AA643" s="88">
        <v>0</v>
      </c>
      <c r="AB643" s="88"/>
      <c r="AC643" s="88">
        <v>1237.76</v>
      </c>
      <c r="AD643" s="88"/>
      <c r="AE643" s="88">
        <f t="shared" ref="AE643:AE674" si="67">SUM(E643:AC643)</f>
        <v>102242.79</v>
      </c>
      <c r="AF643" s="76"/>
      <c r="AG643" s="76">
        <v>-9209.5300000000007</v>
      </c>
      <c r="AH643" s="76"/>
      <c r="AI643" s="76">
        <v>131873.84</v>
      </c>
      <c r="AJ643" s="76"/>
      <c r="AK643" s="76">
        <v>122664.31</v>
      </c>
      <c r="AL643" s="24">
        <f>+'Gen Rev'!AI640-'Gen Exp'!AE643+'Gen Exp'!AI643-AK643</f>
        <v>0</v>
      </c>
      <c r="AM643" s="41" t="str">
        <f>'Gen Rev'!A640</f>
        <v>Syracuse</v>
      </c>
      <c r="AN643" s="21" t="str">
        <f t="shared" ref="AN643:AN674" si="68">A643</f>
        <v>Syracuse</v>
      </c>
      <c r="AO643" s="21" t="b">
        <f t="shared" ref="AO643:AO674" si="69">AM643=AN643</f>
        <v>1</v>
      </c>
    </row>
    <row r="644" spans="1:41" s="21" customFormat="1" ht="12" customHeight="1" x14ac:dyDescent="0.2">
      <c r="A644" s="1" t="s">
        <v>191</v>
      </c>
      <c r="B644" s="1"/>
      <c r="C644" s="1" t="s">
        <v>793</v>
      </c>
      <c r="D644" s="23"/>
      <c r="E644" s="76">
        <v>1592.04</v>
      </c>
      <c r="F644" s="76"/>
      <c r="G644" s="76">
        <v>0</v>
      </c>
      <c r="H644" s="76"/>
      <c r="I644" s="76">
        <v>389.82</v>
      </c>
      <c r="J644" s="76"/>
      <c r="K644" s="76">
        <v>0</v>
      </c>
      <c r="L644" s="76"/>
      <c r="M644" s="76">
        <v>0</v>
      </c>
      <c r="N644" s="76"/>
      <c r="O644" s="76">
        <v>505.83</v>
      </c>
      <c r="P644" s="76"/>
      <c r="Q644" s="76">
        <v>30654.07</v>
      </c>
      <c r="R644" s="76"/>
      <c r="S644" s="76">
        <v>0</v>
      </c>
      <c r="T644" s="76"/>
      <c r="U644" s="76">
        <v>0</v>
      </c>
      <c r="V644" s="76"/>
      <c r="W644" s="76">
        <v>0</v>
      </c>
      <c r="X644" s="76"/>
      <c r="Y644" s="76">
        <v>6232.8</v>
      </c>
      <c r="Z644" s="76"/>
      <c r="AA644" s="76">
        <v>0</v>
      </c>
      <c r="AB644" s="76"/>
      <c r="AC644" s="76">
        <v>225.37</v>
      </c>
      <c r="AD644" s="76"/>
      <c r="AE644" s="76">
        <f t="shared" si="67"/>
        <v>39599.930000000008</v>
      </c>
      <c r="AF644" s="76"/>
      <c r="AG644" s="76">
        <v>-12123.62</v>
      </c>
      <c r="AH644" s="76"/>
      <c r="AI644" s="76">
        <v>21783.16</v>
      </c>
      <c r="AJ644" s="76"/>
      <c r="AK644" s="76">
        <v>9659.5400000000009</v>
      </c>
      <c r="AL644" s="24">
        <f>+'Gen Rev'!AI641-'Gen Exp'!AE644+'Gen Exp'!AI644-AK644</f>
        <v>0</v>
      </c>
      <c r="AM644" s="41" t="str">
        <f>'Gen Rev'!A641</f>
        <v>Tarlton</v>
      </c>
      <c r="AN644" s="21" t="str">
        <f t="shared" si="68"/>
        <v>Tarlton</v>
      </c>
      <c r="AO644" s="21" t="b">
        <f t="shared" si="69"/>
        <v>1</v>
      </c>
    </row>
    <row r="645" spans="1:41" s="21" customFormat="1" ht="12" customHeight="1" x14ac:dyDescent="0.2">
      <c r="A645" s="1" t="s">
        <v>385</v>
      </c>
      <c r="B645" s="1"/>
      <c r="C645" s="1" t="s">
        <v>378</v>
      </c>
      <c r="D645" s="1"/>
      <c r="E645" s="76">
        <v>820139.46</v>
      </c>
      <c r="F645" s="76"/>
      <c r="G645" s="76">
        <v>0</v>
      </c>
      <c r="H645" s="76"/>
      <c r="I645" s="76">
        <v>1643.45</v>
      </c>
      <c r="J645" s="76"/>
      <c r="K645" s="76">
        <v>31199.49</v>
      </c>
      <c r="L645" s="76"/>
      <c r="M645" s="76">
        <v>145180.13</v>
      </c>
      <c r="N645" s="76"/>
      <c r="O645" s="76">
        <v>69704.67</v>
      </c>
      <c r="P645" s="76"/>
      <c r="Q645" s="76">
        <v>468650.96</v>
      </c>
      <c r="R645" s="76"/>
      <c r="S645" s="76">
        <v>0</v>
      </c>
      <c r="T645" s="76"/>
      <c r="U645" s="76">
        <v>0</v>
      </c>
      <c r="V645" s="76"/>
      <c r="W645" s="76">
        <v>0</v>
      </c>
      <c r="X645" s="76"/>
      <c r="Y645" s="76">
        <v>0</v>
      </c>
      <c r="Z645" s="76"/>
      <c r="AA645" s="76">
        <v>0</v>
      </c>
      <c r="AB645" s="76"/>
      <c r="AC645" s="76">
        <v>0</v>
      </c>
      <c r="AD645" s="76"/>
      <c r="AE645" s="76">
        <f t="shared" si="67"/>
        <v>1536518.16</v>
      </c>
      <c r="AF645" s="76"/>
      <c r="AG645" s="76">
        <v>-114279.14</v>
      </c>
      <c r="AH645" s="76"/>
      <c r="AI645" s="76">
        <v>1215823.3500000001</v>
      </c>
      <c r="AJ645" s="76"/>
      <c r="AK645" s="76">
        <v>1101544.21</v>
      </c>
      <c r="AL645" s="24">
        <f>+'Gen Rev'!AI642-'Gen Exp'!AE645+'Gen Exp'!AI645-AK645</f>
        <v>0</v>
      </c>
      <c r="AM645" s="41" t="str">
        <f>'Gen Rev'!A642</f>
        <v>Terrace Park</v>
      </c>
      <c r="AN645" s="21" t="str">
        <f t="shared" si="68"/>
        <v>Terrace Park</v>
      </c>
      <c r="AO645" s="21" t="b">
        <f t="shared" si="69"/>
        <v>1</v>
      </c>
    </row>
    <row r="646" spans="1:41" s="21" customFormat="1" ht="12" customHeight="1" x14ac:dyDescent="0.2">
      <c r="A646" s="1" t="s">
        <v>503</v>
      </c>
      <c r="B646" s="1"/>
      <c r="C646" s="1" t="s">
        <v>500</v>
      </c>
      <c r="D646" s="23"/>
      <c r="E646" s="76">
        <v>14617.57</v>
      </c>
      <c r="F646" s="76"/>
      <c r="G646" s="76">
        <v>0</v>
      </c>
      <c r="H646" s="76"/>
      <c r="I646" s="76">
        <v>0</v>
      </c>
      <c r="J646" s="76"/>
      <c r="K646" s="76">
        <v>9366.84</v>
      </c>
      <c r="L646" s="76"/>
      <c r="M646" s="76">
        <v>0</v>
      </c>
      <c r="N646" s="76"/>
      <c r="O646" s="76">
        <v>268.45999999999998</v>
      </c>
      <c r="P646" s="76"/>
      <c r="Q646" s="76">
        <v>169306.53</v>
      </c>
      <c r="R646" s="76"/>
      <c r="S646" s="76">
        <v>0</v>
      </c>
      <c r="T646" s="76"/>
      <c r="U646" s="76">
        <v>0</v>
      </c>
      <c r="V646" s="76"/>
      <c r="W646" s="76">
        <v>0</v>
      </c>
      <c r="X646" s="76"/>
      <c r="Y646" s="76">
        <v>0</v>
      </c>
      <c r="Z646" s="76"/>
      <c r="AA646" s="76">
        <v>0</v>
      </c>
      <c r="AB646" s="76"/>
      <c r="AC646" s="76">
        <v>0</v>
      </c>
      <c r="AD646" s="76"/>
      <c r="AE646" s="76">
        <f t="shared" si="67"/>
        <v>193559.4</v>
      </c>
      <c r="AF646" s="76"/>
      <c r="AG646" s="76">
        <v>13372.59</v>
      </c>
      <c r="AH646" s="76"/>
      <c r="AI646" s="76">
        <v>431051.82</v>
      </c>
      <c r="AJ646" s="76"/>
      <c r="AK646" s="76">
        <v>444424.41</v>
      </c>
      <c r="AL646" s="24">
        <f>+'Gen Rev'!AI643-'Gen Exp'!AE646+'Gen Exp'!AI646-AK646</f>
        <v>0</v>
      </c>
      <c r="AM646" s="41" t="str">
        <f>'Gen Rev'!A643</f>
        <v>Thornville</v>
      </c>
      <c r="AN646" s="21" t="str">
        <f t="shared" si="68"/>
        <v>Thornville</v>
      </c>
      <c r="AO646" s="21" t="b">
        <f t="shared" si="69"/>
        <v>1</v>
      </c>
    </row>
    <row r="647" spans="1:41" ht="12" customHeight="1" x14ac:dyDescent="0.2">
      <c r="A647" s="1" t="s">
        <v>67</v>
      </c>
      <c r="C647" s="1" t="s">
        <v>756</v>
      </c>
      <c r="E647" s="76">
        <v>3579.19</v>
      </c>
      <c r="F647" s="76"/>
      <c r="G647" s="76">
        <v>1929.4</v>
      </c>
      <c r="H647" s="76"/>
      <c r="I647" s="76">
        <v>0</v>
      </c>
      <c r="J647" s="76"/>
      <c r="K647" s="76">
        <v>982.5</v>
      </c>
      <c r="L647" s="76"/>
      <c r="M647" s="76">
        <v>6341.44</v>
      </c>
      <c r="N647" s="76"/>
      <c r="O647" s="76">
        <v>0</v>
      </c>
      <c r="P647" s="76"/>
      <c r="Q647" s="76">
        <v>28315.99</v>
      </c>
      <c r="R647" s="76"/>
      <c r="S647" s="76">
        <v>3675.77</v>
      </c>
      <c r="T647" s="76"/>
      <c r="U647" s="76">
        <v>0</v>
      </c>
      <c r="V647" s="76"/>
      <c r="W647" s="76">
        <v>0</v>
      </c>
      <c r="X647" s="76"/>
      <c r="Y647" s="76">
        <v>0</v>
      </c>
      <c r="Z647" s="76"/>
      <c r="AA647" s="76">
        <v>0</v>
      </c>
      <c r="AB647" s="76"/>
      <c r="AC647" s="76">
        <v>0</v>
      </c>
      <c r="AD647" s="76"/>
      <c r="AE647" s="76">
        <f t="shared" si="67"/>
        <v>44824.29</v>
      </c>
      <c r="AF647" s="76"/>
      <c r="AG647" s="76">
        <v>29510.52</v>
      </c>
      <c r="AH647" s="76"/>
      <c r="AI647" s="76">
        <v>39250.480000000003</v>
      </c>
      <c r="AJ647" s="76"/>
      <c r="AK647" s="76">
        <v>68761</v>
      </c>
      <c r="AL647" s="24">
        <f>+'Gen Rev'!AI644-'Gen Exp'!AE647+'Gen Exp'!AI647-AK647</f>
        <v>0</v>
      </c>
      <c r="AM647" s="41" t="str">
        <f>'Gen Rev'!A644</f>
        <v>Thurston</v>
      </c>
      <c r="AN647" s="21" t="str">
        <f t="shared" si="68"/>
        <v>Thurston</v>
      </c>
      <c r="AO647" s="21" t="b">
        <f t="shared" si="69"/>
        <v>1</v>
      </c>
    </row>
    <row r="648" spans="1:41" s="21" customFormat="1" ht="12" customHeight="1" x14ac:dyDescent="0.2">
      <c r="A648" s="36" t="s">
        <v>120</v>
      </c>
      <c r="B648" s="36"/>
      <c r="C648" s="36" t="s">
        <v>770</v>
      </c>
      <c r="D648" s="10"/>
      <c r="E648" s="76">
        <v>116355.31</v>
      </c>
      <c r="F648" s="76"/>
      <c r="G648" s="76">
        <v>2296.86</v>
      </c>
      <c r="H648" s="76"/>
      <c r="I648" s="76">
        <v>0</v>
      </c>
      <c r="J648" s="76"/>
      <c r="K648" s="76">
        <v>0</v>
      </c>
      <c r="L648" s="76"/>
      <c r="M648" s="76">
        <v>0</v>
      </c>
      <c r="N648" s="76"/>
      <c r="O648" s="76">
        <v>0</v>
      </c>
      <c r="P648" s="76"/>
      <c r="Q648" s="76">
        <v>62813.58</v>
      </c>
      <c r="R648" s="76"/>
      <c r="S648" s="76">
        <v>0</v>
      </c>
      <c r="T648" s="76"/>
      <c r="U648" s="76">
        <v>0</v>
      </c>
      <c r="V648" s="76"/>
      <c r="W648" s="76">
        <v>1600</v>
      </c>
      <c r="X648" s="76"/>
      <c r="Y648" s="76">
        <v>0</v>
      </c>
      <c r="Z648" s="76"/>
      <c r="AA648" s="76">
        <v>0</v>
      </c>
      <c r="AB648" s="76"/>
      <c r="AC648" s="76">
        <v>0</v>
      </c>
      <c r="AD648" s="76"/>
      <c r="AE648" s="76">
        <f t="shared" si="67"/>
        <v>183065.75</v>
      </c>
      <c r="AF648" s="76"/>
      <c r="AG648" s="76">
        <v>-850.26</v>
      </c>
      <c r="AH648" s="76"/>
      <c r="AI648" s="76">
        <v>70325.27</v>
      </c>
      <c r="AJ648" s="76"/>
      <c r="AK648" s="76">
        <v>69475.009999999995</v>
      </c>
      <c r="AL648" s="24">
        <f>+'Gen Rev'!AI645-'Gen Exp'!AE648+'Gen Exp'!AI648-AK648</f>
        <v>0</v>
      </c>
      <c r="AM648" s="41" t="str">
        <f>'Gen Rev'!A645</f>
        <v>Tiltonsville</v>
      </c>
      <c r="AN648" s="21" t="str">
        <f t="shared" si="68"/>
        <v>Tiltonsville</v>
      </c>
      <c r="AO648" s="21" t="b">
        <f t="shared" si="69"/>
        <v>1</v>
      </c>
    </row>
    <row r="649" spans="1:41" s="21" customFormat="1" ht="12" customHeight="1" x14ac:dyDescent="0.2">
      <c r="A649" s="1" t="s">
        <v>434</v>
      </c>
      <c r="B649" s="1"/>
      <c r="C649" s="1" t="s">
        <v>430</v>
      </c>
      <c r="D649" s="1"/>
      <c r="E649" s="76">
        <v>253009</v>
      </c>
      <c r="F649" s="76"/>
      <c r="G649" s="76">
        <v>5891</v>
      </c>
      <c r="H649" s="76"/>
      <c r="I649" s="76">
        <v>20471</v>
      </c>
      <c r="J649" s="76"/>
      <c r="K649" s="76">
        <v>0</v>
      </c>
      <c r="L649" s="76"/>
      <c r="M649" s="76">
        <v>76659</v>
      </c>
      <c r="N649" s="76"/>
      <c r="O649" s="76">
        <v>0</v>
      </c>
      <c r="P649" s="76"/>
      <c r="Q649" s="76">
        <v>106307</v>
      </c>
      <c r="R649" s="76"/>
      <c r="S649" s="76">
        <v>0</v>
      </c>
      <c r="T649" s="76"/>
      <c r="U649" s="76">
        <v>0</v>
      </c>
      <c r="V649" s="76"/>
      <c r="W649" s="76">
        <v>0</v>
      </c>
      <c r="X649" s="76"/>
      <c r="Y649" s="76">
        <v>0</v>
      </c>
      <c r="Z649" s="76"/>
      <c r="AA649" s="76">
        <v>0</v>
      </c>
      <c r="AB649" s="76"/>
      <c r="AC649" s="76">
        <v>0</v>
      </c>
      <c r="AD649" s="76"/>
      <c r="AE649" s="76">
        <f t="shared" si="67"/>
        <v>462337</v>
      </c>
      <c r="AF649" s="76"/>
      <c r="AG649" s="76">
        <v>-8792</v>
      </c>
      <c r="AH649" s="76"/>
      <c r="AI649" s="76">
        <v>301658</v>
      </c>
      <c r="AJ649" s="76"/>
      <c r="AK649" s="76">
        <v>292866</v>
      </c>
      <c r="AL649" s="24">
        <f>+'Gen Rev'!AI646-'Gen Exp'!AE649+'Gen Exp'!AI649-AK649</f>
        <v>0</v>
      </c>
      <c r="AM649" s="41" t="str">
        <f>'Gen Rev'!A646</f>
        <v>Timberlake</v>
      </c>
      <c r="AN649" s="21" t="str">
        <f t="shared" si="68"/>
        <v>Timberlake</v>
      </c>
      <c r="AO649" s="21" t="b">
        <f t="shared" si="69"/>
        <v>1</v>
      </c>
    </row>
    <row r="650" spans="1:41" s="21" customFormat="1" ht="12" customHeight="1" x14ac:dyDescent="0.2">
      <c r="A650" s="1" t="s">
        <v>844</v>
      </c>
      <c r="B650" s="1"/>
      <c r="C650" s="1" t="s">
        <v>750</v>
      </c>
      <c r="D650" s="23"/>
      <c r="E650" s="76">
        <v>0</v>
      </c>
      <c r="F650" s="76"/>
      <c r="G650" s="76">
        <v>692.97</v>
      </c>
      <c r="H650" s="76"/>
      <c r="I650" s="76">
        <v>0</v>
      </c>
      <c r="J650" s="76"/>
      <c r="K650" s="76">
        <v>0</v>
      </c>
      <c r="L650" s="76"/>
      <c r="M650" s="76">
        <v>0</v>
      </c>
      <c r="N650" s="76"/>
      <c r="O650" s="76">
        <v>0</v>
      </c>
      <c r="P650" s="76"/>
      <c r="Q650" s="76">
        <v>8860.36</v>
      </c>
      <c r="R650" s="76"/>
      <c r="S650" s="76">
        <v>0</v>
      </c>
      <c r="T650" s="76"/>
      <c r="U650" s="76">
        <v>1000</v>
      </c>
      <c r="V650" s="76"/>
      <c r="W650" s="76">
        <v>0</v>
      </c>
      <c r="X650" s="76"/>
      <c r="Y650" s="76">
        <v>0</v>
      </c>
      <c r="Z650" s="76"/>
      <c r="AA650" s="76">
        <v>0</v>
      </c>
      <c r="AB650" s="76"/>
      <c r="AC650" s="76">
        <v>0</v>
      </c>
      <c r="AD650" s="76"/>
      <c r="AE650" s="76">
        <f t="shared" si="67"/>
        <v>10553.33</v>
      </c>
      <c r="AF650" s="76"/>
      <c r="AG650" s="76">
        <v>2429.9</v>
      </c>
      <c r="AH650" s="76"/>
      <c r="AI650" s="76">
        <v>918.42</v>
      </c>
      <c r="AJ650" s="76"/>
      <c r="AK650" s="76">
        <v>3348.32</v>
      </c>
      <c r="AL650" s="24">
        <f>+'Gen Rev'!AI647-'Gen Exp'!AE650+'Gen Exp'!AI650-AK650</f>
        <v>0</v>
      </c>
      <c r="AM650" s="41" t="str">
        <f>'Gen Rev'!A647</f>
        <v>Tiro</v>
      </c>
      <c r="AN650" s="21" t="str">
        <f t="shared" si="68"/>
        <v>Tiro</v>
      </c>
      <c r="AO650" s="21" t="b">
        <f t="shared" si="69"/>
        <v>1</v>
      </c>
    </row>
    <row r="651" spans="1:41" ht="12" customHeight="1" x14ac:dyDescent="0.2">
      <c r="A651" s="1" t="s">
        <v>607</v>
      </c>
      <c r="C651" s="1" t="s">
        <v>601</v>
      </c>
      <c r="E651" s="76">
        <v>24982.799999999999</v>
      </c>
      <c r="F651" s="76"/>
      <c r="G651" s="76">
        <v>202.7</v>
      </c>
      <c r="H651" s="76"/>
      <c r="I651" s="76">
        <v>11840.64</v>
      </c>
      <c r="J651" s="76"/>
      <c r="K651" s="76">
        <v>1385.4</v>
      </c>
      <c r="L651" s="76"/>
      <c r="M651" s="76">
        <v>914.6</v>
      </c>
      <c r="N651" s="76"/>
      <c r="O651" s="76">
        <v>1966.05</v>
      </c>
      <c r="P651" s="76"/>
      <c r="Q651" s="76">
        <v>50748.33</v>
      </c>
      <c r="R651" s="76"/>
      <c r="S651" s="76">
        <v>18292.07</v>
      </c>
      <c r="T651" s="76"/>
      <c r="U651" s="76">
        <v>0</v>
      </c>
      <c r="V651" s="76"/>
      <c r="W651" s="76">
        <v>0</v>
      </c>
      <c r="X651" s="76"/>
      <c r="Y651" s="76">
        <v>0</v>
      </c>
      <c r="Z651" s="76"/>
      <c r="AA651" s="76">
        <v>0</v>
      </c>
      <c r="AB651" s="76"/>
      <c r="AC651" s="76">
        <v>1652.88</v>
      </c>
      <c r="AD651" s="76"/>
      <c r="AE651" s="76">
        <f t="shared" si="67"/>
        <v>111985.47</v>
      </c>
      <c r="AF651" s="76"/>
      <c r="AG651" s="76">
        <v>7420.51</v>
      </c>
      <c r="AH651" s="76"/>
      <c r="AI651" s="76">
        <v>168295.02</v>
      </c>
      <c r="AJ651" s="76"/>
      <c r="AK651" s="76">
        <v>175715.53</v>
      </c>
      <c r="AL651" s="24">
        <f>+'Gen Rev'!AI648-'Gen Exp'!AE651+'Gen Exp'!AI651-AK651</f>
        <v>0</v>
      </c>
      <c r="AM651" s="41" t="str">
        <f>'Gen Rev'!A648</f>
        <v>Tontogany</v>
      </c>
      <c r="AN651" s="21" t="str">
        <f t="shared" si="68"/>
        <v>Tontogany</v>
      </c>
      <c r="AO651" s="21" t="b">
        <f t="shared" si="69"/>
        <v>1</v>
      </c>
    </row>
    <row r="652" spans="1:41" ht="12" customHeight="1" x14ac:dyDescent="0.2">
      <c r="A652" s="1" t="s">
        <v>940</v>
      </c>
      <c r="C652" s="1" t="s">
        <v>271</v>
      </c>
      <c r="E652" s="76">
        <v>3992</v>
      </c>
      <c r="F652" s="76"/>
      <c r="G652" s="76">
        <v>0</v>
      </c>
      <c r="H652" s="76"/>
      <c r="I652" s="76">
        <v>0</v>
      </c>
      <c r="J652" s="76"/>
      <c r="K652" s="76">
        <v>0</v>
      </c>
      <c r="L652" s="76"/>
      <c r="M652" s="76">
        <v>5153</v>
      </c>
      <c r="N652" s="76"/>
      <c r="O652" s="76">
        <v>1528</v>
      </c>
      <c r="P652" s="76"/>
      <c r="Q652" s="76">
        <v>41117</v>
      </c>
      <c r="R652" s="76"/>
      <c r="S652" s="76">
        <v>0</v>
      </c>
      <c r="T652" s="76"/>
      <c r="U652" s="76">
        <v>3900</v>
      </c>
      <c r="V652" s="76"/>
      <c r="W652" s="76">
        <v>918</v>
      </c>
      <c r="X652" s="76"/>
      <c r="Y652" s="76">
        <v>0</v>
      </c>
      <c r="Z652" s="76"/>
      <c r="AA652" s="76">
        <v>0</v>
      </c>
      <c r="AB652" s="76"/>
      <c r="AC652" s="76">
        <v>0</v>
      </c>
      <c r="AD652" s="76"/>
      <c r="AE652" s="76">
        <f t="shared" si="67"/>
        <v>56608</v>
      </c>
      <c r="AF652" s="76"/>
      <c r="AG652" s="76">
        <v>-13497</v>
      </c>
      <c r="AH652" s="76"/>
      <c r="AI652" s="76">
        <v>-98176</v>
      </c>
      <c r="AJ652" s="76"/>
      <c r="AK652" s="76">
        <v>-111673</v>
      </c>
      <c r="AL652" s="24">
        <f>+'Gen Rev'!AI649-'Gen Exp'!AE652+'Gen Exp'!AI652-AK652</f>
        <v>0</v>
      </c>
      <c r="AM652" s="41" t="str">
        <f>'Gen Rev'!A649</f>
        <v>Trimble</v>
      </c>
      <c r="AN652" s="21" t="str">
        <f t="shared" si="68"/>
        <v>Trimble</v>
      </c>
      <c r="AO652" s="21" t="b">
        <f t="shared" si="69"/>
        <v>1</v>
      </c>
    </row>
    <row r="653" spans="1:41" s="21" customFormat="1" ht="12" customHeight="1" x14ac:dyDescent="0.2">
      <c r="A653" s="1" t="s">
        <v>560</v>
      </c>
      <c r="B653" s="1"/>
      <c r="C653" s="1" t="s">
        <v>560</v>
      </c>
      <c r="D653" s="23"/>
      <c r="E653" s="76">
        <v>57935.99</v>
      </c>
      <c r="F653" s="76"/>
      <c r="G653" s="76">
        <v>247.23</v>
      </c>
      <c r="H653" s="76"/>
      <c r="I653" s="76">
        <v>0</v>
      </c>
      <c r="J653" s="76"/>
      <c r="K653" s="76">
        <v>8345.32</v>
      </c>
      <c r="L653" s="76"/>
      <c r="M653" s="76">
        <v>36930.620000000003</v>
      </c>
      <c r="N653" s="76"/>
      <c r="O653" s="76">
        <v>0</v>
      </c>
      <c r="P653" s="76"/>
      <c r="Q653" s="76">
        <v>93681.52</v>
      </c>
      <c r="R653" s="76"/>
      <c r="S653" s="76">
        <v>2102.46</v>
      </c>
      <c r="T653" s="76"/>
      <c r="U653" s="76">
        <v>0</v>
      </c>
      <c r="V653" s="76"/>
      <c r="W653" s="76">
        <v>0</v>
      </c>
      <c r="X653" s="76"/>
      <c r="Y653" s="76">
        <v>0</v>
      </c>
      <c r="Z653" s="76"/>
      <c r="AA653" s="76">
        <v>0</v>
      </c>
      <c r="AB653" s="76"/>
      <c r="AC653" s="76">
        <v>0</v>
      </c>
      <c r="AD653" s="76"/>
      <c r="AE653" s="76">
        <f t="shared" si="67"/>
        <v>199243.13999999998</v>
      </c>
      <c r="AF653" s="76"/>
      <c r="AG653" s="76">
        <v>19703.43</v>
      </c>
      <c r="AH653" s="76"/>
      <c r="AI653" s="76">
        <v>192763.4</v>
      </c>
      <c r="AJ653" s="76"/>
      <c r="AK653" s="76">
        <v>212466.83</v>
      </c>
      <c r="AL653" s="24">
        <f>+'Gen Rev'!AI650-'Gen Exp'!AE653+'Gen Exp'!AI653-AK653</f>
        <v>0</v>
      </c>
      <c r="AM653" s="41" t="str">
        <f>'Gen Rev'!A650</f>
        <v>Tuscarawas</v>
      </c>
      <c r="AN653" s="21" t="str">
        <f t="shared" si="68"/>
        <v>Tuscarawas</v>
      </c>
      <c r="AO653" s="21" t="b">
        <f t="shared" si="69"/>
        <v>1</v>
      </c>
    </row>
    <row r="654" spans="1:41" s="21" customFormat="1" ht="12" customHeight="1" x14ac:dyDescent="0.2">
      <c r="A654" s="1" t="s">
        <v>337</v>
      </c>
      <c r="B654" s="1"/>
      <c r="C654" s="1" t="s">
        <v>329</v>
      </c>
      <c r="D654" s="1"/>
      <c r="E654" s="76">
        <v>201591</v>
      </c>
      <c r="F654" s="76"/>
      <c r="G654" s="76">
        <v>4514</v>
      </c>
      <c r="H654" s="76"/>
      <c r="I654" s="76">
        <v>569</v>
      </c>
      <c r="J654" s="76"/>
      <c r="K654" s="76">
        <v>0</v>
      </c>
      <c r="L654" s="76"/>
      <c r="M654" s="76">
        <v>67792</v>
      </c>
      <c r="N654" s="76"/>
      <c r="O654" s="76">
        <v>15302</v>
      </c>
      <c r="P654" s="76"/>
      <c r="Q654" s="76">
        <v>142591</v>
      </c>
      <c r="R654" s="76"/>
      <c r="S654" s="76">
        <v>0</v>
      </c>
      <c r="T654" s="76"/>
      <c r="U654" s="76">
        <v>0</v>
      </c>
      <c r="V654" s="76"/>
      <c r="W654" s="76">
        <v>0</v>
      </c>
      <c r="X654" s="76"/>
      <c r="Y654" s="76">
        <v>229086</v>
      </c>
      <c r="Z654" s="76"/>
      <c r="AA654" s="76">
        <v>0</v>
      </c>
      <c r="AB654" s="76"/>
      <c r="AC654" s="76">
        <v>0</v>
      </c>
      <c r="AD654" s="76"/>
      <c r="AE654" s="76">
        <f t="shared" si="67"/>
        <v>661445</v>
      </c>
      <c r="AF654" s="76"/>
      <c r="AG654" s="76">
        <v>-134087</v>
      </c>
      <c r="AH654" s="76"/>
      <c r="AI654" s="76">
        <v>200361</v>
      </c>
      <c r="AJ654" s="76"/>
      <c r="AK654" s="76">
        <v>66274</v>
      </c>
      <c r="AL654" s="24">
        <f>+'Gen Rev'!AI651-'Gen Exp'!AE654+'Gen Exp'!AI654-AK654</f>
        <v>0</v>
      </c>
      <c r="AM654" s="41" t="str">
        <f>'Gen Rev'!A651</f>
        <v>Union City</v>
      </c>
      <c r="AN654" s="21" t="str">
        <f t="shared" si="68"/>
        <v>Union City</v>
      </c>
      <c r="AO654" s="21" t="b">
        <f t="shared" si="69"/>
        <v>1</v>
      </c>
    </row>
    <row r="655" spans="1:41" ht="12" customHeight="1" x14ac:dyDescent="0.2">
      <c r="A655" s="10" t="s">
        <v>569</v>
      </c>
      <c r="B655" s="10"/>
      <c r="C655" s="10" t="s">
        <v>570</v>
      </c>
      <c r="E655" s="76">
        <v>3026.78</v>
      </c>
      <c r="F655" s="76"/>
      <c r="G655" s="76">
        <v>0</v>
      </c>
      <c r="H655" s="76"/>
      <c r="I655" s="76">
        <v>500</v>
      </c>
      <c r="J655" s="76"/>
      <c r="K655" s="76">
        <v>0</v>
      </c>
      <c r="L655" s="76"/>
      <c r="M655" s="76">
        <v>413.87</v>
      </c>
      <c r="N655" s="76"/>
      <c r="O655" s="76">
        <v>0</v>
      </c>
      <c r="P655" s="76"/>
      <c r="Q655" s="76">
        <v>12320.59</v>
      </c>
      <c r="R655" s="76"/>
      <c r="S655" s="76">
        <v>0</v>
      </c>
      <c r="T655" s="76"/>
      <c r="U655" s="76">
        <v>0</v>
      </c>
      <c r="V655" s="76"/>
      <c r="W655" s="76">
        <v>0</v>
      </c>
      <c r="X655" s="76"/>
      <c r="Y655" s="76">
        <v>0</v>
      </c>
      <c r="Z655" s="76"/>
      <c r="AA655" s="76">
        <v>0</v>
      </c>
      <c r="AB655" s="76"/>
      <c r="AC655" s="76">
        <v>0</v>
      </c>
      <c r="AD655" s="76"/>
      <c r="AE655" s="76">
        <f t="shared" si="67"/>
        <v>16261.24</v>
      </c>
      <c r="AF655" s="76"/>
      <c r="AG655" s="76">
        <v>-940.54</v>
      </c>
      <c r="AH655" s="76"/>
      <c r="AI655" s="76">
        <v>17827.689999999999</v>
      </c>
      <c r="AJ655" s="76"/>
      <c r="AK655" s="76">
        <v>16887.150000000001</v>
      </c>
      <c r="AL655" s="24">
        <f>+'Gen Rev'!AI652-'Gen Exp'!AE655+'Gen Exp'!AI655-AK655</f>
        <v>0</v>
      </c>
      <c r="AM655" s="41" t="str">
        <f>'Gen Rev'!A652</f>
        <v>Unionville Center</v>
      </c>
      <c r="AN655" s="21" t="str">
        <f t="shared" si="68"/>
        <v>Unionville Center</v>
      </c>
      <c r="AO655" s="21" t="b">
        <f t="shared" si="69"/>
        <v>1</v>
      </c>
    </row>
    <row r="656" spans="1:41" s="21" customFormat="1" ht="12" customHeight="1" x14ac:dyDescent="0.2">
      <c r="A656" s="1" t="s">
        <v>13</v>
      </c>
      <c r="B656" s="1"/>
      <c r="C656" s="1" t="s">
        <v>740</v>
      </c>
      <c r="D656" s="1"/>
      <c r="E656" s="76">
        <v>30999.42</v>
      </c>
      <c r="F656" s="76"/>
      <c r="G656" s="76">
        <v>0</v>
      </c>
      <c r="H656" s="76"/>
      <c r="I656" s="76">
        <v>2069.9</v>
      </c>
      <c r="J656" s="76"/>
      <c r="K656" s="76">
        <v>0</v>
      </c>
      <c r="L656" s="76"/>
      <c r="M656" s="76">
        <v>504</v>
      </c>
      <c r="N656" s="76"/>
      <c r="O656" s="76">
        <v>0</v>
      </c>
      <c r="P656" s="76"/>
      <c r="Q656" s="76">
        <v>29040.11</v>
      </c>
      <c r="R656" s="76"/>
      <c r="S656" s="76">
        <v>0</v>
      </c>
      <c r="T656" s="76"/>
      <c r="U656" s="76">
        <v>38749.9</v>
      </c>
      <c r="V656" s="76"/>
      <c r="W656" s="76">
        <v>0</v>
      </c>
      <c r="X656" s="76"/>
      <c r="Y656" s="76">
        <v>0</v>
      </c>
      <c r="Z656" s="76"/>
      <c r="AA656" s="76">
        <v>0</v>
      </c>
      <c r="AB656" s="76"/>
      <c r="AC656" s="76">
        <v>0</v>
      </c>
      <c r="AD656" s="76"/>
      <c r="AE656" s="76">
        <f t="shared" si="67"/>
        <v>101363.33</v>
      </c>
      <c r="AF656" s="76"/>
      <c r="AG656" s="76">
        <v>-35148.050000000003</v>
      </c>
      <c r="AH656" s="76"/>
      <c r="AI656" s="76">
        <v>110446.28</v>
      </c>
      <c r="AJ656" s="76"/>
      <c r="AK656" s="76">
        <v>75298.23</v>
      </c>
      <c r="AL656" s="24">
        <f>+'Gen Rev'!AI653-'Gen Exp'!AE656+'Gen Exp'!AI656-AK656</f>
        <v>0</v>
      </c>
      <c r="AM656" s="41" t="str">
        <f>'Gen Rev'!A653</f>
        <v>Uniopolis</v>
      </c>
      <c r="AN656" s="21" t="str">
        <f t="shared" si="68"/>
        <v>Uniopolis</v>
      </c>
      <c r="AO656" s="21" t="b">
        <f t="shared" si="69"/>
        <v>1</v>
      </c>
    </row>
    <row r="657" spans="1:41" s="21" customFormat="1" ht="12" customHeight="1" x14ac:dyDescent="0.2">
      <c r="A657" s="1" t="s">
        <v>76</v>
      </c>
      <c r="B657" s="1"/>
      <c r="C657" s="1" t="s">
        <v>758</v>
      </c>
      <c r="D657" s="23"/>
      <c r="E657" s="76">
        <v>31935.54</v>
      </c>
      <c r="F657" s="76"/>
      <c r="G657" s="76">
        <v>0</v>
      </c>
      <c r="H657" s="76"/>
      <c r="I657" s="76">
        <v>2249.8000000000002</v>
      </c>
      <c r="J657" s="76"/>
      <c r="K657" s="76">
        <v>11678</v>
      </c>
      <c r="L657" s="76"/>
      <c r="M657" s="76">
        <v>0</v>
      </c>
      <c r="N657" s="76"/>
      <c r="O657" s="76">
        <v>100508.14</v>
      </c>
      <c r="P657" s="76"/>
      <c r="Q657" s="76">
        <v>363950.92</v>
      </c>
      <c r="R657" s="76"/>
      <c r="S657" s="76">
        <v>0</v>
      </c>
      <c r="T657" s="76"/>
      <c r="U657" s="76">
        <v>0</v>
      </c>
      <c r="V657" s="76"/>
      <c r="W657" s="76">
        <v>0</v>
      </c>
      <c r="X657" s="76"/>
      <c r="Y657" s="76">
        <v>597956.36</v>
      </c>
      <c r="Z657" s="76"/>
      <c r="AA657" s="76">
        <v>0</v>
      </c>
      <c r="AB657" s="76"/>
      <c r="AC657" s="76">
        <v>158362.82999999999</v>
      </c>
      <c r="AD657" s="76"/>
      <c r="AE657" s="76">
        <f t="shared" si="67"/>
        <v>1266641.5900000001</v>
      </c>
      <c r="AF657" s="76"/>
      <c r="AG657" s="76">
        <v>-214408.64</v>
      </c>
      <c r="AH657" s="76"/>
      <c r="AI657" s="76">
        <v>1884408.93</v>
      </c>
      <c r="AJ657" s="76"/>
      <c r="AK657" s="76">
        <v>1670000.29</v>
      </c>
      <c r="AL657" s="24">
        <f>+'Gen Rev'!AI654-'Gen Exp'!AE657+'Gen Exp'!AI657-AK657</f>
        <v>0</v>
      </c>
      <c r="AM657" s="41" t="str">
        <f>'Gen Rev'!A654</f>
        <v>Urbancrest</v>
      </c>
      <c r="AN657" s="21" t="str">
        <f t="shared" si="68"/>
        <v>Urbancrest</v>
      </c>
      <c r="AO657" s="21" t="b">
        <f t="shared" si="69"/>
        <v>1</v>
      </c>
    </row>
    <row r="658" spans="1:41" ht="12" customHeight="1" x14ac:dyDescent="0.2">
      <c r="A658" s="1" t="s">
        <v>444</v>
      </c>
      <c r="C658" s="1" t="s">
        <v>439</v>
      </c>
      <c r="E658" s="76">
        <v>360255</v>
      </c>
      <c r="F658" s="76"/>
      <c r="G658" s="76">
        <v>4500</v>
      </c>
      <c r="H658" s="76"/>
      <c r="I658" s="76">
        <v>810</v>
      </c>
      <c r="J658" s="76"/>
      <c r="K658" s="76">
        <v>211</v>
      </c>
      <c r="L658" s="76"/>
      <c r="M658" s="76">
        <v>25958</v>
      </c>
      <c r="N658" s="76"/>
      <c r="O658" s="76">
        <v>0</v>
      </c>
      <c r="P658" s="76"/>
      <c r="Q658" s="76">
        <v>236811</v>
      </c>
      <c r="R658" s="76"/>
      <c r="S658" s="76">
        <v>1948</v>
      </c>
      <c r="T658" s="76"/>
      <c r="U658" s="76">
        <v>0</v>
      </c>
      <c r="V658" s="76"/>
      <c r="W658" s="76">
        <v>0</v>
      </c>
      <c r="X658" s="76"/>
      <c r="Y658" s="76">
        <v>218104</v>
      </c>
      <c r="Z658" s="76"/>
      <c r="AA658" s="76">
        <v>0</v>
      </c>
      <c r="AB658" s="76"/>
      <c r="AC658" s="76">
        <v>0</v>
      </c>
      <c r="AD658" s="76"/>
      <c r="AE658" s="76">
        <f t="shared" si="67"/>
        <v>848597</v>
      </c>
      <c r="AF658" s="76"/>
      <c r="AG658" s="76">
        <v>5945</v>
      </c>
      <c r="AH658" s="76"/>
      <c r="AI658" s="76">
        <v>93380</v>
      </c>
      <c r="AJ658" s="76"/>
      <c r="AK658" s="76">
        <v>99325</v>
      </c>
      <c r="AL658" s="24">
        <f>+'Gen Rev'!AI655-'Gen Exp'!AE658+'Gen Exp'!AI658-AK658</f>
        <v>0</v>
      </c>
      <c r="AM658" s="41" t="str">
        <f>'Gen Rev'!A655</f>
        <v>Utica</v>
      </c>
      <c r="AN658" s="21" t="str">
        <f t="shared" si="68"/>
        <v>Utica</v>
      </c>
      <c r="AO658" s="21" t="b">
        <f t="shared" si="69"/>
        <v>1</v>
      </c>
    </row>
    <row r="659" spans="1:41" ht="12" customHeight="1" x14ac:dyDescent="0.2">
      <c r="A659" s="1" t="s">
        <v>448</v>
      </c>
      <c r="C659" s="1" t="s">
        <v>446</v>
      </c>
      <c r="E659" s="76">
        <v>0</v>
      </c>
      <c r="F659" s="76"/>
      <c r="G659" s="76">
        <v>0</v>
      </c>
      <c r="H659" s="76"/>
      <c r="I659" s="76">
        <v>0</v>
      </c>
      <c r="J659" s="76"/>
      <c r="K659" s="76">
        <v>0</v>
      </c>
      <c r="L659" s="76"/>
      <c r="M659" s="76">
        <v>0</v>
      </c>
      <c r="N659" s="76"/>
      <c r="O659" s="76">
        <v>0</v>
      </c>
      <c r="P659" s="76"/>
      <c r="Q659" s="76">
        <v>24966</v>
      </c>
      <c r="R659" s="76"/>
      <c r="S659" s="76">
        <v>0</v>
      </c>
      <c r="T659" s="76"/>
      <c r="U659" s="76">
        <v>0</v>
      </c>
      <c r="V659" s="76"/>
      <c r="W659" s="76">
        <v>0</v>
      </c>
      <c r="X659" s="76"/>
      <c r="Y659" s="76">
        <v>0</v>
      </c>
      <c r="Z659" s="76"/>
      <c r="AA659" s="76">
        <v>0</v>
      </c>
      <c r="AB659" s="76"/>
      <c r="AC659" s="76">
        <v>0</v>
      </c>
      <c r="AD659" s="76"/>
      <c r="AE659" s="76">
        <f t="shared" si="67"/>
        <v>24966</v>
      </c>
      <c r="AF659" s="76"/>
      <c r="AG659" s="76">
        <v>11965</v>
      </c>
      <c r="AH659" s="76"/>
      <c r="AI659" s="76">
        <v>0</v>
      </c>
      <c r="AJ659" s="76"/>
      <c r="AK659" s="76">
        <v>11965</v>
      </c>
      <c r="AL659" s="24">
        <f>+'Gen Rev'!AI656-'Gen Exp'!AE659+'Gen Exp'!AI659-AK659</f>
        <v>0</v>
      </c>
      <c r="AM659" s="41" t="str">
        <f>'Gen Rev'!A656</f>
        <v>Valley Hi</v>
      </c>
      <c r="AN659" s="21" t="str">
        <f t="shared" si="68"/>
        <v>Valley Hi</v>
      </c>
      <c r="AO659" s="21" t="b">
        <f t="shared" si="69"/>
        <v>1</v>
      </c>
    </row>
    <row r="660" spans="1:41" s="31" customFormat="1" ht="12" customHeight="1" x14ac:dyDescent="0.2">
      <c r="A660" s="1" t="s">
        <v>326</v>
      </c>
      <c r="B660" s="1"/>
      <c r="C660" s="1" t="s">
        <v>316</v>
      </c>
      <c r="D660" s="1"/>
      <c r="E660" s="76">
        <v>4211634</v>
      </c>
      <c r="F660" s="76"/>
      <c r="G660" s="76">
        <v>12660</v>
      </c>
      <c r="H660" s="76"/>
      <c r="I660" s="76">
        <v>423966</v>
      </c>
      <c r="J660" s="76"/>
      <c r="K660" s="76">
        <v>0</v>
      </c>
      <c r="L660" s="76"/>
      <c r="M660" s="76">
        <v>248724</v>
      </c>
      <c r="N660" s="76"/>
      <c r="O660" s="76">
        <v>943096</v>
      </c>
      <c r="P660" s="76"/>
      <c r="Q660" s="76">
        <v>1860762</v>
      </c>
      <c r="R660" s="76"/>
      <c r="S660" s="76">
        <v>992144</v>
      </c>
      <c r="T660" s="76"/>
      <c r="U660" s="76">
        <v>0</v>
      </c>
      <c r="V660" s="76"/>
      <c r="W660" s="76">
        <v>0</v>
      </c>
      <c r="X660" s="76"/>
      <c r="Y660" s="76">
        <v>668000</v>
      </c>
      <c r="Z660" s="76"/>
      <c r="AA660" s="76">
        <v>252109</v>
      </c>
      <c r="AB660" s="76"/>
      <c r="AC660" s="76">
        <v>0</v>
      </c>
      <c r="AD660" s="76"/>
      <c r="AE660" s="76">
        <f t="shared" si="67"/>
        <v>9613095</v>
      </c>
      <c r="AF660" s="76"/>
      <c r="AG660" s="76">
        <v>1476934</v>
      </c>
      <c r="AH660" s="76"/>
      <c r="AI660" s="76">
        <v>4345722</v>
      </c>
      <c r="AJ660" s="76"/>
      <c r="AK660" s="76">
        <v>5822656</v>
      </c>
      <c r="AL660" s="24">
        <f>+'Gen Rev'!AI657-'Gen Exp'!AE660+'Gen Exp'!AI660-AK660</f>
        <v>0</v>
      </c>
      <c r="AM660" s="41" t="str">
        <f>'Gen Rev'!A657</f>
        <v>Valley View</v>
      </c>
      <c r="AN660" s="21" t="str">
        <f t="shared" si="68"/>
        <v>Valley View</v>
      </c>
      <c r="AO660" s="21" t="b">
        <f t="shared" si="69"/>
        <v>1</v>
      </c>
    </row>
    <row r="661" spans="1:41" ht="12" customHeight="1" x14ac:dyDescent="0.2">
      <c r="A661" s="1" t="s">
        <v>77</v>
      </c>
      <c r="C661" s="1" t="s">
        <v>758</v>
      </c>
      <c r="E661" s="76">
        <v>104311.26</v>
      </c>
      <c r="F661" s="76"/>
      <c r="G661" s="76">
        <v>0</v>
      </c>
      <c r="H661" s="76"/>
      <c r="I661" s="76">
        <v>2994.47</v>
      </c>
      <c r="J661" s="76"/>
      <c r="K661" s="76">
        <v>0</v>
      </c>
      <c r="L661" s="76"/>
      <c r="M661" s="76">
        <v>0</v>
      </c>
      <c r="N661" s="76"/>
      <c r="O661" s="76">
        <v>0</v>
      </c>
      <c r="P661" s="76"/>
      <c r="Q661" s="76">
        <v>110148.16</v>
      </c>
      <c r="R661" s="76"/>
      <c r="S661" s="76">
        <v>0</v>
      </c>
      <c r="T661" s="76"/>
      <c r="U661" s="76">
        <v>0</v>
      </c>
      <c r="V661" s="76"/>
      <c r="W661" s="76">
        <v>0</v>
      </c>
      <c r="X661" s="76"/>
      <c r="Y661" s="76">
        <v>9577.5499999999993</v>
      </c>
      <c r="Z661" s="76"/>
      <c r="AA661" s="76">
        <v>0</v>
      </c>
      <c r="AB661" s="76"/>
      <c r="AC661" s="76">
        <v>175.99</v>
      </c>
      <c r="AD661" s="76"/>
      <c r="AE661" s="76">
        <f t="shared" si="67"/>
        <v>227207.43</v>
      </c>
      <c r="AF661" s="76"/>
      <c r="AG661" s="76">
        <v>325.54000000000002</v>
      </c>
      <c r="AH661" s="76"/>
      <c r="AI661" s="76">
        <v>74162.39</v>
      </c>
      <c r="AJ661" s="76"/>
      <c r="AK661" s="76">
        <v>74487.929999999993</v>
      </c>
      <c r="AL661" s="24">
        <f>+'Gen Rev'!AI658-'Gen Exp'!AE661+'Gen Exp'!AI661-AK661</f>
        <v>0</v>
      </c>
      <c r="AM661" s="41" t="str">
        <f>'Gen Rev'!A658</f>
        <v>Valleyview</v>
      </c>
      <c r="AN661" s="21" t="str">
        <f t="shared" si="68"/>
        <v>Valleyview</v>
      </c>
      <c r="AO661" s="21" t="b">
        <f t="shared" si="69"/>
        <v>1</v>
      </c>
    </row>
    <row r="662" spans="1:41" ht="12" customHeight="1" x14ac:dyDescent="0.2">
      <c r="A662" s="1" t="s">
        <v>393</v>
      </c>
      <c r="C662" s="1" t="s">
        <v>388</v>
      </c>
      <c r="D662" s="23"/>
      <c r="E662" s="76">
        <v>5274.96</v>
      </c>
      <c r="F662" s="76"/>
      <c r="G662" s="76">
        <v>1691.28</v>
      </c>
      <c r="H662" s="76"/>
      <c r="I662" s="76">
        <v>457.03</v>
      </c>
      <c r="J662" s="76"/>
      <c r="K662" s="76">
        <v>3445.5</v>
      </c>
      <c r="L662" s="76"/>
      <c r="M662" s="76">
        <v>952</v>
      </c>
      <c r="N662" s="76"/>
      <c r="O662" s="76">
        <v>0</v>
      </c>
      <c r="P662" s="76"/>
      <c r="Q662" s="76">
        <v>27767.23</v>
      </c>
      <c r="R662" s="76"/>
      <c r="S662" s="76">
        <v>4902.5</v>
      </c>
      <c r="T662" s="76"/>
      <c r="U662" s="76">
        <v>12700</v>
      </c>
      <c r="V662" s="76"/>
      <c r="W662" s="76">
        <v>0</v>
      </c>
      <c r="X662" s="76"/>
      <c r="Y662" s="76">
        <v>0</v>
      </c>
      <c r="Z662" s="76"/>
      <c r="AA662" s="76">
        <v>0</v>
      </c>
      <c r="AB662" s="76"/>
      <c r="AC662" s="76">
        <v>0</v>
      </c>
      <c r="AD662" s="76"/>
      <c r="AE662" s="76">
        <f t="shared" si="67"/>
        <v>57190.5</v>
      </c>
      <c r="AF662" s="76"/>
      <c r="AG662" s="76">
        <v>-3339.31</v>
      </c>
      <c r="AH662" s="76"/>
      <c r="AI662" s="76">
        <v>55994.12</v>
      </c>
      <c r="AJ662" s="76"/>
      <c r="AK662" s="76">
        <v>52654.81</v>
      </c>
      <c r="AL662" s="24">
        <f>+'Gen Rev'!AI659-'Gen Exp'!AE662+'Gen Exp'!AI662-AK662</f>
        <v>0</v>
      </c>
      <c r="AM662" s="41" t="str">
        <f>'Gen Rev'!A659</f>
        <v>Van Buren</v>
      </c>
      <c r="AN662" s="21" t="str">
        <f t="shared" si="68"/>
        <v>Van Buren</v>
      </c>
      <c r="AO662" s="21" t="b">
        <f t="shared" si="69"/>
        <v>1</v>
      </c>
    </row>
    <row r="663" spans="1:41" ht="12" customHeight="1" x14ac:dyDescent="0.2">
      <c r="A663" s="1" t="s">
        <v>394</v>
      </c>
      <c r="C663" s="1" t="s">
        <v>388</v>
      </c>
      <c r="D663" s="23"/>
      <c r="E663" s="76">
        <v>10963.7</v>
      </c>
      <c r="F663" s="76"/>
      <c r="G663" s="76">
        <v>1469.56</v>
      </c>
      <c r="H663" s="76"/>
      <c r="I663" s="76">
        <v>9338.15</v>
      </c>
      <c r="J663" s="76"/>
      <c r="K663" s="76">
        <v>605.04</v>
      </c>
      <c r="L663" s="76"/>
      <c r="M663" s="76">
        <v>0</v>
      </c>
      <c r="N663" s="76"/>
      <c r="O663" s="76">
        <v>0</v>
      </c>
      <c r="P663" s="76"/>
      <c r="Q663" s="76">
        <v>26732.93</v>
      </c>
      <c r="R663" s="76"/>
      <c r="S663" s="76">
        <v>0</v>
      </c>
      <c r="T663" s="76"/>
      <c r="U663" s="76">
        <v>1000</v>
      </c>
      <c r="V663" s="76"/>
      <c r="W663" s="76">
        <v>1739.06</v>
      </c>
      <c r="X663" s="76"/>
      <c r="Y663" s="76">
        <v>0</v>
      </c>
      <c r="Z663" s="76"/>
      <c r="AA663" s="76">
        <v>0</v>
      </c>
      <c r="AB663" s="76"/>
      <c r="AC663" s="76">
        <v>223.5</v>
      </c>
      <c r="AD663" s="76"/>
      <c r="AE663" s="76">
        <f t="shared" si="67"/>
        <v>52071.94</v>
      </c>
      <c r="AF663" s="76"/>
      <c r="AG663" s="76">
        <v>1769.15</v>
      </c>
      <c r="AH663" s="76"/>
      <c r="AI663" s="76">
        <v>78735.47</v>
      </c>
      <c r="AJ663" s="76"/>
      <c r="AK663" s="76">
        <v>80504.62</v>
      </c>
      <c r="AL663" s="24">
        <f>+'Gen Rev'!AI660-'Gen Exp'!AE663+'Gen Exp'!AI663-AK663</f>
        <v>0</v>
      </c>
      <c r="AM663" s="41" t="str">
        <f>'Gen Rev'!A660</f>
        <v>Vanlue</v>
      </c>
      <c r="AN663" s="21" t="str">
        <f t="shared" si="68"/>
        <v>Vanlue</v>
      </c>
      <c r="AO663" s="21" t="b">
        <f t="shared" si="69"/>
        <v>1</v>
      </c>
    </row>
    <row r="664" spans="1:41" ht="12" customHeight="1" x14ac:dyDescent="0.2">
      <c r="A664" s="1" t="s">
        <v>575</v>
      </c>
      <c r="C664" s="1" t="s">
        <v>572</v>
      </c>
      <c r="D664" s="23"/>
      <c r="E664" s="76">
        <v>3484.3</v>
      </c>
      <c r="F664" s="76"/>
      <c r="G664" s="76">
        <v>874.1</v>
      </c>
      <c r="H664" s="76"/>
      <c r="I664" s="76">
        <v>4147.63</v>
      </c>
      <c r="J664" s="76"/>
      <c r="K664" s="76">
        <v>0</v>
      </c>
      <c r="L664" s="76"/>
      <c r="M664" s="76">
        <v>480</v>
      </c>
      <c r="N664" s="76"/>
      <c r="O664" s="76">
        <v>500</v>
      </c>
      <c r="P664" s="76"/>
      <c r="Q664" s="76">
        <v>13058.19</v>
      </c>
      <c r="R664" s="76"/>
      <c r="S664" s="76">
        <v>0</v>
      </c>
      <c r="T664" s="76"/>
      <c r="U664" s="76">
        <v>0</v>
      </c>
      <c r="V664" s="76"/>
      <c r="W664" s="76">
        <v>0</v>
      </c>
      <c r="X664" s="76"/>
      <c r="Y664" s="76">
        <v>0</v>
      </c>
      <c r="Z664" s="76"/>
      <c r="AA664" s="76">
        <v>0</v>
      </c>
      <c r="AB664" s="76"/>
      <c r="AC664" s="76">
        <v>0</v>
      </c>
      <c r="AD664" s="76"/>
      <c r="AE664" s="76">
        <f t="shared" si="67"/>
        <v>22544.22</v>
      </c>
      <c r="AF664" s="76"/>
      <c r="AG664" s="76">
        <v>-7842.95</v>
      </c>
      <c r="AH664" s="76"/>
      <c r="AI664" s="76">
        <v>36684.67</v>
      </c>
      <c r="AJ664" s="76"/>
      <c r="AK664" s="76">
        <v>28841.72</v>
      </c>
      <c r="AL664" s="24">
        <f>+'Gen Rev'!AI661-'Gen Exp'!AE664+'Gen Exp'!AI664-AK664</f>
        <v>0</v>
      </c>
      <c r="AM664" s="41" t="str">
        <f>'Gen Rev'!A661</f>
        <v>Venedocia</v>
      </c>
      <c r="AN664" s="21" t="str">
        <f t="shared" si="68"/>
        <v>Venedocia</v>
      </c>
      <c r="AO664" s="21" t="b">
        <f t="shared" si="69"/>
        <v>1</v>
      </c>
    </row>
    <row r="665" spans="1:41" ht="12" customHeight="1" x14ac:dyDescent="0.2">
      <c r="A665" s="15" t="s">
        <v>511</v>
      </c>
      <c r="B665" s="15"/>
      <c r="C665" s="15" t="s">
        <v>509</v>
      </c>
      <c r="D665" s="15"/>
      <c r="E665" s="76">
        <v>0</v>
      </c>
      <c r="F665" s="76"/>
      <c r="G665" s="76">
        <v>0</v>
      </c>
      <c r="H665" s="76"/>
      <c r="I665" s="76">
        <v>92</v>
      </c>
      <c r="J665" s="76"/>
      <c r="K665" s="76">
        <v>1217</v>
      </c>
      <c r="L665" s="76"/>
      <c r="M665" s="76">
        <v>0</v>
      </c>
      <c r="N665" s="76"/>
      <c r="O665" s="76">
        <v>596</v>
      </c>
      <c r="P665" s="76"/>
      <c r="Q665" s="76">
        <v>60507</v>
      </c>
      <c r="R665" s="76"/>
      <c r="S665" s="76">
        <v>0</v>
      </c>
      <c r="T665" s="76"/>
      <c r="U665" s="76">
        <v>0</v>
      </c>
      <c r="V665" s="76"/>
      <c r="W665" s="76">
        <v>0</v>
      </c>
      <c r="X665" s="76"/>
      <c r="Y665" s="76">
        <v>3205</v>
      </c>
      <c r="Z665" s="76"/>
      <c r="AA665" s="76">
        <v>0</v>
      </c>
      <c r="AB665" s="76"/>
      <c r="AC665" s="76">
        <v>0</v>
      </c>
      <c r="AD665" s="76"/>
      <c r="AE665" s="76">
        <f t="shared" si="67"/>
        <v>65617</v>
      </c>
      <c r="AF665" s="76"/>
      <c r="AG665" s="76">
        <f>23297-3205</f>
        <v>20092</v>
      </c>
      <c r="AH665" s="76"/>
      <c r="AI665" s="76">
        <f>AK665-AG665</f>
        <v>17237</v>
      </c>
      <c r="AJ665" s="76"/>
      <c r="AK665" s="76">
        <v>37329</v>
      </c>
      <c r="AL665" s="24">
        <f>+'Gen Rev'!AI662-'Gen Exp'!AE665+'Gen Exp'!AI665-AK665</f>
        <v>0</v>
      </c>
      <c r="AM665" s="41" t="str">
        <f>'Gen Rev'!A662</f>
        <v>Verona</v>
      </c>
      <c r="AN665" s="21" t="str">
        <f t="shared" si="68"/>
        <v>Verona</v>
      </c>
      <c r="AO665" s="21" t="b">
        <f t="shared" si="69"/>
        <v>1</v>
      </c>
    </row>
    <row r="666" spans="1:41" s="21" customFormat="1" ht="12" customHeight="1" x14ac:dyDescent="0.2">
      <c r="A666" s="1" t="s">
        <v>338</v>
      </c>
      <c r="B666" s="1"/>
      <c r="C666" s="1" t="s">
        <v>329</v>
      </c>
      <c r="D666" s="1"/>
      <c r="E666" s="76">
        <v>468823</v>
      </c>
      <c r="F666" s="76"/>
      <c r="G666" s="76">
        <v>16706</v>
      </c>
      <c r="H666" s="76"/>
      <c r="I666" s="76">
        <v>0</v>
      </c>
      <c r="J666" s="76"/>
      <c r="K666" s="76">
        <v>22057</v>
      </c>
      <c r="L666" s="76"/>
      <c r="M666" s="76">
        <v>0</v>
      </c>
      <c r="N666" s="76"/>
      <c r="O666" s="76">
        <v>0</v>
      </c>
      <c r="P666" s="76"/>
      <c r="Q666" s="76">
        <v>229855</v>
      </c>
      <c r="R666" s="76"/>
      <c r="S666" s="76">
        <v>172967</v>
      </c>
      <c r="T666" s="76"/>
      <c r="U666" s="76">
        <v>0</v>
      </c>
      <c r="V666" s="76"/>
      <c r="W666" s="76">
        <v>0</v>
      </c>
      <c r="X666" s="76"/>
      <c r="Y666" s="76">
        <v>1080085</v>
      </c>
      <c r="Z666" s="76"/>
      <c r="AA666" s="76">
        <v>0</v>
      </c>
      <c r="AB666" s="76"/>
      <c r="AC666" s="76">
        <v>0</v>
      </c>
      <c r="AD666" s="76"/>
      <c r="AE666" s="76">
        <f t="shared" si="67"/>
        <v>1990493</v>
      </c>
      <c r="AF666" s="76"/>
      <c r="AG666" s="76">
        <v>-171077</v>
      </c>
      <c r="AH666" s="76"/>
      <c r="AI666" s="76">
        <v>2620855</v>
      </c>
      <c r="AJ666" s="76"/>
      <c r="AK666" s="76">
        <v>2449778</v>
      </c>
      <c r="AL666" s="24">
        <f>+'Gen Rev'!AI663-'Gen Exp'!AE666+'Gen Exp'!AI666-AK666</f>
        <v>0</v>
      </c>
      <c r="AM666" s="41" t="str">
        <f>'Gen Rev'!A663</f>
        <v>Versailles</v>
      </c>
      <c r="AN666" s="21" t="str">
        <f t="shared" si="68"/>
        <v>Versailles</v>
      </c>
      <c r="AO666" s="21" t="b">
        <f t="shared" si="69"/>
        <v>1</v>
      </c>
    </row>
    <row r="667" spans="1:41" s="21" customFormat="1" ht="12" customHeight="1" x14ac:dyDescent="0.2">
      <c r="A667" s="1" t="s">
        <v>82</v>
      </c>
      <c r="B667" s="1"/>
      <c r="C667" s="1" t="s">
        <v>760</v>
      </c>
      <c r="D667" s="1"/>
      <c r="E667" s="76">
        <v>22389.77</v>
      </c>
      <c r="F667" s="76"/>
      <c r="G667" s="76">
        <v>31909.4</v>
      </c>
      <c r="H667" s="76"/>
      <c r="I667" s="76">
        <v>15298.65</v>
      </c>
      <c r="J667" s="76"/>
      <c r="K667" s="76">
        <v>0</v>
      </c>
      <c r="L667" s="76"/>
      <c r="M667" s="76">
        <v>4344.01</v>
      </c>
      <c r="N667" s="76"/>
      <c r="O667" s="76">
        <v>0</v>
      </c>
      <c r="P667" s="76"/>
      <c r="Q667" s="76">
        <v>28774.720000000001</v>
      </c>
      <c r="R667" s="76"/>
      <c r="S667" s="76">
        <v>0</v>
      </c>
      <c r="T667" s="76"/>
      <c r="U667" s="76">
        <v>0</v>
      </c>
      <c r="V667" s="76"/>
      <c r="W667" s="76">
        <v>0</v>
      </c>
      <c r="X667" s="76"/>
      <c r="Y667" s="76">
        <v>0</v>
      </c>
      <c r="Z667" s="76"/>
      <c r="AA667" s="76">
        <v>0</v>
      </c>
      <c r="AB667" s="76"/>
      <c r="AC667" s="76">
        <v>0</v>
      </c>
      <c r="AD667" s="76"/>
      <c r="AE667" s="76">
        <f t="shared" si="67"/>
        <v>102716.54999999999</v>
      </c>
      <c r="AF667" s="76"/>
      <c r="AG667" s="76">
        <v>-12952.8</v>
      </c>
      <c r="AH667" s="76"/>
      <c r="AI667" s="76">
        <v>35154.79</v>
      </c>
      <c r="AJ667" s="76"/>
      <c r="AK667" s="76">
        <v>22201.99</v>
      </c>
      <c r="AL667" s="24">
        <f>+'Gen Rev'!AI664-'Gen Exp'!AE667+'Gen Exp'!AI667-AK667</f>
        <v>0</v>
      </c>
      <c r="AM667" s="41" t="str">
        <f>'Gen Rev'!A664</f>
        <v>Vinton</v>
      </c>
      <c r="AN667" s="21" t="str">
        <f t="shared" si="68"/>
        <v>Vinton</v>
      </c>
      <c r="AO667" s="21" t="b">
        <f t="shared" si="69"/>
        <v>1</v>
      </c>
    </row>
    <row r="668" spans="1:41" s="21" customFormat="1" ht="12" customHeight="1" x14ac:dyDescent="0.2">
      <c r="A668" s="1" t="s">
        <v>435</v>
      </c>
      <c r="B668" s="1"/>
      <c r="C668" s="1" t="s">
        <v>430</v>
      </c>
      <c r="D668" s="1"/>
      <c r="E668" s="76">
        <v>562295</v>
      </c>
      <c r="F668" s="76"/>
      <c r="G668" s="76">
        <v>14735</v>
      </c>
      <c r="H668" s="76"/>
      <c r="I668" s="76">
        <v>0</v>
      </c>
      <c r="J668" s="76"/>
      <c r="K668" s="76">
        <v>11578</v>
      </c>
      <c r="L668" s="76"/>
      <c r="M668" s="76">
        <v>35437</v>
      </c>
      <c r="N668" s="76"/>
      <c r="O668" s="76">
        <v>289178</v>
      </c>
      <c r="P668" s="76"/>
      <c r="Q668" s="76">
        <v>240092</v>
      </c>
      <c r="R668" s="76"/>
      <c r="S668" s="76">
        <v>0</v>
      </c>
      <c r="T668" s="76"/>
      <c r="U668" s="76">
        <v>0</v>
      </c>
      <c r="V668" s="76"/>
      <c r="W668" s="76">
        <v>0</v>
      </c>
      <c r="X668" s="76"/>
      <c r="Y668" s="76">
        <v>235000</v>
      </c>
      <c r="Z668" s="76"/>
      <c r="AA668" s="76">
        <v>0</v>
      </c>
      <c r="AB668" s="76"/>
      <c r="AC668" s="76">
        <v>0</v>
      </c>
      <c r="AD668" s="76"/>
      <c r="AE668" s="76">
        <f t="shared" si="67"/>
        <v>1388315</v>
      </c>
      <c r="AF668" s="76"/>
      <c r="AG668" s="76">
        <v>-25279</v>
      </c>
      <c r="AH668" s="76"/>
      <c r="AI668" s="76">
        <v>876368</v>
      </c>
      <c r="AJ668" s="76"/>
      <c r="AK668" s="76">
        <v>851089</v>
      </c>
      <c r="AL668" s="24">
        <f>+'Gen Rev'!AI665-'Gen Exp'!AE668+'Gen Exp'!AI668-AK668</f>
        <v>0</v>
      </c>
      <c r="AM668" s="41" t="str">
        <f>'Gen Rev'!A665</f>
        <v>Waite Hill</v>
      </c>
      <c r="AN668" s="21" t="str">
        <f t="shared" si="68"/>
        <v>Waite Hill</v>
      </c>
      <c r="AO668" s="21" t="b">
        <f t="shared" si="69"/>
        <v>1</v>
      </c>
    </row>
    <row r="669" spans="1:41" ht="12" customHeight="1" x14ac:dyDescent="0.2">
      <c r="A669" s="1" t="s">
        <v>419</v>
      </c>
      <c r="C669" s="1" t="s">
        <v>416</v>
      </c>
      <c r="E669" s="76">
        <v>103358.44</v>
      </c>
      <c r="F669" s="76"/>
      <c r="G669" s="76">
        <v>1075.5999999999999</v>
      </c>
      <c r="H669" s="76"/>
      <c r="I669" s="76">
        <v>53388.06</v>
      </c>
      <c r="J669" s="76"/>
      <c r="K669" s="76">
        <v>1397</v>
      </c>
      <c r="L669" s="76"/>
      <c r="M669" s="76">
        <v>4088.72</v>
      </c>
      <c r="N669" s="76"/>
      <c r="O669" s="76">
        <v>0</v>
      </c>
      <c r="P669" s="76"/>
      <c r="Q669" s="76">
        <v>121418.78</v>
      </c>
      <c r="R669" s="76"/>
      <c r="S669" s="76">
        <v>0</v>
      </c>
      <c r="T669" s="76"/>
      <c r="U669" s="76">
        <v>0</v>
      </c>
      <c r="V669" s="76"/>
      <c r="W669" s="76">
        <v>0</v>
      </c>
      <c r="X669" s="76"/>
      <c r="Y669" s="76">
        <v>61580</v>
      </c>
      <c r="Z669" s="76"/>
      <c r="AA669" s="76">
        <v>0</v>
      </c>
      <c r="AB669" s="76"/>
      <c r="AC669" s="76">
        <v>0</v>
      </c>
      <c r="AD669" s="76"/>
      <c r="AE669" s="76">
        <f t="shared" si="67"/>
        <v>346306.6</v>
      </c>
      <c r="AF669" s="76"/>
      <c r="AG669" s="76">
        <v>21176.49</v>
      </c>
      <c r="AH669" s="76"/>
      <c r="AI669" s="76">
        <v>368159.84</v>
      </c>
      <c r="AJ669" s="76"/>
      <c r="AK669" s="76">
        <v>389336.33</v>
      </c>
      <c r="AL669" s="24">
        <f>+'Gen Rev'!AI666-'Gen Exp'!AE669+'Gen Exp'!AI669-AK669</f>
        <v>0</v>
      </c>
      <c r="AM669" s="41" t="str">
        <f>'Gen Rev'!A666</f>
        <v>Wakeman</v>
      </c>
      <c r="AN669" s="21" t="str">
        <f t="shared" si="68"/>
        <v>Wakeman</v>
      </c>
      <c r="AO669" s="21" t="b">
        <f t="shared" si="69"/>
        <v>1</v>
      </c>
    </row>
    <row r="670" spans="1:41" s="21" customFormat="1" ht="12" customHeight="1" x14ac:dyDescent="0.2">
      <c r="A670" s="1" t="s">
        <v>261</v>
      </c>
      <c r="B670" s="1"/>
      <c r="C670" s="1" t="s">
        <v>601</v>
      </c>
      <c r="D670" s="23"/>
      <c r="E670" s="76">
        <v>490226.53</v>
      </c>
      <c r="F670" s="76"/>
      <c r="G670" s="76">
        <v>2546.0100000000002</v>
      </c>
      <c r="H670" s="76"/>
      <c r="I670" s="76">
        <v>58480.86</v>
      </c>
      <c r="J670" s="76"/>
      <c r="K670" s="76">
        <v>16.98</v>
      </c>
      <c r="L670" s="76"/>
      <c r="M670" s="76">
        <v>0</v>
      </c>
      <c r="N670" s="76"/>
      <c r="O670" s="76">
        <v>10797.25</v>
      </c>
      <c r="P670" s="76"/>
      <c r="Q670" s="76">
        <v>431806.5</v>
      </c>
      <c r="R670" s="76"/>
      <c r="S670" s="76">
        <v>0</v>
      </c>
      <c r="T670" s="76"/>
      <c r="U670" s="76">
        <v>0</v>
      </c>
      <c r="V670" s="76"/>
      <c r="W670" s="76">
        <v>0</v>
      </c>
      <c r="X670" s="76"/>
      <c r="Y670" s="76">
        <v>0</v>
      </c>
      <c r="Z670" s="76"/>
      <c r="AA670" s="76">
        <v>0</v>
      </c>
      <c r="AB670" s="76"/>
      <c r="AC670" s="76">
        <v>0</v>
      </c>
      <c r="AD670" s="76"/>
      <c r="AE670" s="76">
        <f t="shared" si="67"/>
        <v>993874.13</v>
      </c>
      <c r="AF670" s="76"/>
      <c r="AG670" s="76">
        <v>23251.53</v>
      </c>
      <c r="AH670" s="76"/>
      <c r="AI670" s="76">
        <v>232883.49</v>
      </c>
      <c r="AJ670" s="76"/>
      <c r="AK670" s="76">
        <v>256135.02</v>
      </c>
      <c r="AL670" s="24">
        <f>+'Gen Rev'!AI667-'Gen Exp'!AE670+'Gen Exp'!AI670-AK670</f>
        <v>0</v>
      </c>
      <c r="AM670" s="41" t="str">
        <f>'Gen Rev'!A667</f>
        <v>Walbridge</v>
      </c>
      <c r="AN670" s="21" t="str">
        <f t="shared" si="68"/>
        <v>Walbridge</v>
      </c>
      <c r="AO670" s="21" t="b">
        <f t="shared" si="69"/>
        <v>1</v>
      </c>
    </row>
    <row r="671" spans="1:41" s="21" customFormat="1" ht="12" customHeight="1" x14ac:dyDescent="0.2">
      <c r="A671" s="1" t="s">
        <v>151</v>
      </c>
      <c r="B671" s="1"/>
      <c r="C671" s="1" t="s">
        <v>463</v>
      </c>
      <c r="D671" s="23"/>
      <c r="E671" s="76">
        <v>9537.6</v>
      </c>
      <c r="F671" s="76"/>
      <c r="G671" s="76">
        <v>0</v>
      </c>
      <c r="H671" s="76"/>
      <c r="I671" s="76">
        <v>0</v>
      </c>
      <c r="J671" s="76"/>
      <c r="K671" s="76">
        <v>7063.84</v>
      </c>
      <c r="L671" s="76"/>
      <c r="M671" s="76">
        <v>4606.71</v>
      </c>
      <c r="N671" s="76"/>
      <c r="O671" s="76">
        <v>2993.78</v>
      </c>
      <c r="P671" s="76"/>
      <c r="Q671" s="76">
        <v>21331.18</v>
      </c>
      <c r="R671" s="76"/>
      <c r="S671" s="76">
        <v>0</v>
      </c>
      <c r="T671" s="76"/>
      <c r="U671" s="76">
        <v>0</v>
      </c>
      <c r="V671" s="76"/>
      <c r="W671" s="76">
        <v>0</v>
      </c>
      <c r="X671" s="76"/>
      <c r="Y671" s="76">
        <v>0</v>
      </c>
      <c r="Z671" s="76"/>
      <c r="AA671" s="76">
        <v>0</v>
      </c>
      <c r="AB671" s="76"/>
      <c r="AC671" s="76">
        <v>0</v>
      </c>
      <c r="AD671" s="76"/>
      <c r="AE671" s="76">
        <f t="shared" si="67"/>
        <v>45533.11</v>
      </c>
      <c r="AF671" s="76"/>
      <c r="AG671" s="76">
        <v>83791.41</v>
      </c>
      <c r="AH671" s="76"/>
      <c r="AI671" s="76">
        <v>189886.52</v>
      </c>
      <c r="AJ671" s="76"/>
      <c r="AK671" s="76">
        <v>273677.93</v>
      </c>
      <c r="AL671" s="24">
        <f>+'Gen Rev'!AI668-'Gen Exp'!AE671+'Gen Exp'!AI671-AK671</f>
        <v>0</v>
      </c>
      <c r="AM671" s="41" t="str">
        <f>'Gen Rev'!A668</f>
        <v>Waldo</v>
      </c>
      <c r="AN671" s="21" t="str">
        <f t="shared" si="68"/>
        <v>Waldo</v>
      </c>
      <c r="AO671" s="21" t="b">
        <f t="shared" si="69"/>
        <v>1</v>
      </c>
    </row>
    <row r="672" spans="1:41" s="31" customFormat="1" ht="12" customHeight="1" x14ac:dyDescent="0.2">
      <c r="A672" s="15" t="s">
        <v>50</v>
      </c>
      <c r="B672" s="15"/>
      <c r="C672" s="15" t="s">
        <v>316</v>
      </c>
      <c r="D672" s="1"/>
      <c r="E672" s="76">
        <v>2171385</v>
      </c>
      <c r="F672" s="76"/>
      <c r="G672" s="76">
        <v>10044</v>
      </c>
      <c r="H672" s="76"/>
      <c r="I672" s="76">
        <v>186858</v>
      </c>
      <c r="J672" s="76"/>
      <c r="K672" s="76">
        <v>59647</v>
      </c>
      <c r="L672" s="76"/>
      <c r="M672" s="76">
        <v>337524</v>
      </c>
      <c r="N672" s="76"/>
      <c r="O672" s="76">
        <v>162185</v>
      </c>
      <c r="P672" s="76"/>
      <c r="Q672" s="76">
        <v>788992</v>
      </c>
      <c r="R672" s="76"/>
      <c r="S672" s="76">
        <v>0</v>
      </c>
      <c r="T672" s="76"/>
      <c r="U672" s="76">
        <v>0</v>
      </c>
      <c r="V672" s="76"/>
      <c r="W672" s="76">
        <v>0</v>
      </c>
      <c r="X672" s="76"/>
      <c r="Y672" s="76">
        <v>495000</v>
      </c>
      <c r="Z672" s="76"/>
      <c r="AA672" s="76">
        <v>0</v>
      </c>
      <c r="AB672" s="76"/>
      <c r="AC672" s="76">
        <v>0</v>
      </c>
      <c r="AD672" s="76"/>
      <c r="AE672" s="76">
        <f t="shared" si="67"/>
        <v>4211635</v>
      </c>
      <c r="AF672" s="76"/>
      <c r="AG672" s="76">
        <v>-173136</v>
      </c>
      <c r="AH672" s="76"/>
      <c r="AI672" s="76">
        <v>2162195</v>
      </c>
      <c r="AJ672" s="76"/>
      <c r="AK672" s="76">
        <v>1989059</v>
      </c>
      <c r="AL672" s="24">
        <f>+'Gen Rev'!AI669-'Gen Exp'!AE672+'Gen Exp'!AI672-AK672</f>
        <v>0</v>
      </c>
      <c r="AM672" s="41" t="str">
        <f>'Gen Rev'!A669</f>
        <v>Walton Hills</v>
      </c>
      <c r="AN672" s="21" t="str">
        <f t="shared" si="68"/>
        <v>Walton Hills</v>
      </c>
      <c r="AO672" s="21" t="b">
        <f t="shared" si="69"/>
        <v>1</v>
      </c>
    </row>
    <row r="673" spans="1:41" ht="12" customHeight="1" x14ac:dyDescent="0.2">
      <c r="A673" s="1" t="s">
        <v>835</v>
      </c>
      <c r="C673" s="1" t="s">
        <v>308</v>
      </c>
      <c r="D673" s="23"/>
      <c r="E673" s="76">
        <v>42729.81</v>
      </c>
      <c r="F673" s="76"/>
      <c r="G673" s="76">
        <v>319.10000000000002</v>
      </c>
      <c r="H673" s="76"/>
      <c r="I673" s="76">
        <v>69.13</v>
      </c>
      <c r="J673" s="76"/>
      <c r="K673" s="76">
        <v>8774.43</v>
      </c>
      <c r="L673" s="76"/>
      <c r="M673" s="76">
        <v>78.03</v>
      </c>
      <c r="N673" s="76"/>
      <c r="O673" s="76">
        <v>0</v>
      </c>
      <c r="P673" s="76"/>
      <c r="Q673" s="76">
        <v>31299.200000000001</v>
      </c>
      <c r="R673" s="76"/>
      <c r="S673" s="76">
        <v>0</v>
      </c>
      <c r="T673" s="76"/>
      <c r="U673" s="76">
        <v>0</v>
      </c>
      <c r="V673" s="76"/>
      <c r="W673" s="76">
        <v>0</v>
      </c>
      <c r="X673" s="76"/>
      <c r="Y673" s="76">
        <v>32.200000000000003</v>
      </c>
      <c r="Z673" s="76"/>
      <c r="AA673" s="76">
        <v>0</v>
      </c>
      <c r="AB673" s="76"/>
      <c r="AC673" s="76">
        <v>0</v>
      </c>
      <c r="AD673" s="76"/>
      <c r="AE673" s="76">
        <f t="shared" si="67"/>
        <v>83301.899999999994</v>
      </c>
      <c r="AF673" s="76"/>
      <c r="AG673" s="76">
        <v>16390.82</v>
      </c>
      <c r="AH673" s="76"/>
      <c r="AI673" s="76">
        <v>168955.75</v>
      </c>
      <c r="AJ673" s="76"/>
      <c r="AK673" s="76">
        <v>185346.57</v>
      </c>
      <c r="AL673" s="24">
        <f>+'Gen Rev'!AI670-'Gen Exp'!AE673+'Gen Exp'!AI673-AK673</f>
        <v>0</v>
      </c>
      <c r="AM673" s="41" t="str">
        <f>'Gen Rev'!A670</f>
        <v>Warsaw</v>
      </c>
      <c r="AN673" s="21" t="str">
        <f t="shared" si="68"/>
        <v>Warsaw</v>
      </c>
      <c r="AO673" s="21" t="b">
        <f t="shared" si="69"/>
        <v>1</v>
      </c>
    </row>
    <row r="674" spans="1:41" ht="12" customHeight="1" x14ac:dyDescent="0.2">
      <c r="A674" s="1" t="s">
        <v>48</v>
      </c>
      <c r="C674" s="1" t="s">
        <v>305</v>
      </c>
      <c r="D674" s="48"/>
      <c r="E674" s="76">
        <v>23869.65</v>
      </c>
      <c r="F674" s="76"/>
      <c r="G674" s="76">
        <v>665.98</v>
      </c>
      <c r="H674" s="76"/>
      <c r="I674" s="76">
        <v>0</v>
      </c>
      <c r="J674" s="76"/>
      <c r="K674" s="76">
        <v>0</v>
      </c>
      <c r="L674" s="76"/>
      <c r="M674" s="76">
        <v>0</v>
      </c>
      <c r="N674" s="76"/>
      <c r="O674" s="76">
        <v>0</v>
      </c>
      <c r="P674" s="76"/>
      <c r="Q674" s="76">
        <v>55166.66</v>
      </c>
      <c r="R674" s="76"/>
      <c r="S674" s="76">
        <v>12154.94</v>
      </c>
      <c r="T674" s="76"/>
      <c r="U674" s="76">
        <v>0</v>
      </c>
      <c r="V674" s="76"/>
      <c r="W674" s="76">
        <v>0</v>
      </c>
      <c r="X674" s="76"/>
      <c r="Y674" s="76">
        <v>0</v>
      </c>
      <c r="Z674" s="76"/>
      <c r="AA674" s="76">
        <v>0</v>
      </c>
      <c r="AB674" s="76"/>
      <c r="AC674" s="76">
        <v>0</v>
      </c>
      <c r="AD674" s="76"/>
      <c r="AE674" s="76">
        <f t="shared" si="67"/>
        <v>91857.23000000001</v>
      </c>
      <c r="AF674" s="76"/>
      <c r="AG674" s="76">
        <v>-1397.14</v>
      </c>
      <c r="AH674" s="76"/>
      <c r="AI674" s="76">
        <v>76490.100000000006</v>
      </c>
      <c r="AJ674" s="76"/>
      <c r="AK674" s="76">
        <v>75092.960000000006</v>
      </c>
      <c r="AL674" s="24">
        <f>+'Gen Rev'!AI671-'Gen Exp'!AE674+'Gen Exp'!AI674-AK674</f>
        <v>0</v>
      </c>
      <c r="AM674" s="41" t="str">
        <f>'Gen Rev'!A671</f>
        <v>Washingtonville</v>
      </c>
      <c r="AN674" s="21" t="str">
        <f t="shared" si="68"/>
        <v>Washingtonville</v>
      </c>
      <c r="AO674" s="21" t="b">
        <f t="shared" si="69"/>
        <v>1</v>
      </c>
    </row>
    <row r="675" spans="1:41" s="19" customFormat="1" ht="12" hidden="1" customHeight="1" x14ac:dyDescent="0.2">
      <c r="A675" s="1" t="s">
        <v>457</v>
      </c>
      <c r="B675" s="1"/>
      <c r="C675" s="1" t="s">
        <v>455</v>
      </c>
      <c r="D675" s="21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>
        <f t="shared" ref="AE675:AE709" si="70">SUM(E675:AC675)</f>
        <v>0</v>
      </c>
      <c r="AF675" s="76"/>
      <c r="AG675" s="76"/>
      <c r="AH675" s="76"/>
      <c r="AI675" s="76"/>
      <c r="AJ675" s="76"/>
      <c r="AK675" s="76"/>
      <c r="AL675" s="24">
        <f>+'Gen Rev'!AI672-'Gen Exp'!AE675+'Gen Exp'!AI675-AK675</f>
        <v>0</v>
      </c>
      <c r="AM675" s="41" t="str">
        <f>'Gen Rev'!A672</f>
        <v>Waterville</v>
      </c>
      <c r="AN675" s="21" t="str">
        <f t="shared" ref="AN675:AN709" si="71">A675</f>
        <v>Waterville</v>
      </c>
      <c r="AO675" s="21" t="b">
        <f t="shared" ref="AO675:AO706" si="72">AM675=AN675</f>
        <v>1</v>
      </c>
    </row>
    <row r="676" spans="1:41" s="21" customFormat="1" ht="12" customHeight="1" x14ac:dyDescent="0.2">
      <c r="A676" s="1" t="s">
        <v>965</v>
      </c>
      <c r="B676" s="1"/>
      <c r="C676" s="1" t="s">
        <v>506</v>
      </c>
      <c r="D676" s="1"/>
      <c r="E676" s="76">
        <v>91425</v>
      </c>
      <c r="F676" s="76"/>
      <c r="G676" s="76">
        <v>1470</v>
      </c>
      <c r="H676" s="76"/>
      <c r="I676" s="76">
        <v>161349</v>
      </c>
      <c r="J676" s="76"/>
      <c r="K676" s="76">
        <v>0</v>
      </c>
      <c r="L676" s="76"/>
      <c r="M676" s="76">
        <v>0</v>
      </c>
      <c r="N676" s="76"/>
      <c r="O676" s="76">
        <v>361</v>
      </c>
      <c r="P676" s="76"/>
      <c r="Q676" s="76">
        <v>672486</v>
      </c>
      <c r="R676" s="76"/>
      <c r="S676" s="76">
        <v>0</v>
      </c>
      <c r="T676" s="76"/>
      <c r="U676" s="76">
        <v>0</v>
      </c>
      <c r="V676" s="76"/>
      <c r="W676" s="76">
        <v>0</v>
      </c>
      <c r="X676" s="76"/>
      <c r="Y676" s="76">
        <v>805868</v>
      </c>
      <c r="Z676" s="76"/>
      <c r="AA676" s="76">
        <v>0</v>
      </c>
      <c r="AB676" s="76"/>
      <c r="AC676" s="76">
        <v>0</v>
      </c>
      <c r="AD676" s="76"/>
      <c r="AE676" s="76">
        <f t="shared" si="70"/>
        <v>1732959</v>
      </c>
      <c r="AF676" s="76"/>
      <c r="AG676" s="76">
        <v>79766</v>
      </c>
      <c r="AH676" s="76"/>
      <c r="AI676" s="76">
        <v>569253</v>
      </c>
      <c r="AJ676" s="76"/>
      <c r="AK676" s="76">
        <v>649019</v>
      </c>
      <c r="AL676" s="24">
        <f>+'Gen Rev'!AI673-'Gen Exp'!AE676+'Gen Exp'!AI676-AK676</f>
        <v>0</v>
      </c>
      <c r="AM676" s="41" t="str">
        <f>'Gen Rev'!A673</f>
        <v>Waverly</v>
      </c>
      <c r="AN676" s="21" t="str">
        <f t="shared" si="71"/>
        <v>Waverly</v>
      </c>
      <c r="AO676" s="21" t="b">
        <f t="shared" si="72"/>
        <v>1</v>
      </c>
    </row>
    <row r="677" spans="1:41" s="21" customFormat="1" ht="12" customHeight="1" x14ac:dyDescent="0.2">
      <c r="A677" s="10" t="s">
        <v>588</v>
      </c>
      <c r="B677" s="10"/>
      <c r="C677" s="10" t="s">
        <v>601</v>
      </c>
      <c r="D677" s="10"/>
      <c r="E677" s="76">
        <v>0</v>
      </c>
      <c r="F677" s="76"/>
      <c r="G677" s="76">
        <v>458</v>
      </c>
      <c r="H677" s="76"/>
      <c r="I677" s="76">
        <v>1980</v>
      </c>
      <c r="J677" s="76"/>
      <c r="K677" s="76">
        <v>0</v>
      </c>
      <c r="L677" s="76"/>
      <c r="M677" s="76">
        <v>1900</v>
      </c>
      <c r="N677" s="76"/>
      <c r="O677" s="76">
        <v>0</v>
      </c>
      <c r="P677" s="76"/>
      <c r="Q677" s="76">
        <v>61877</v>
      </c>
      <c r="R677" s="76"/>
      <c r="S677" s="76">
        <v>0</v>
      </c>
      <c r="T677" s="76"/>
      <c r="U677" s="76">
        <v>0</v>
      </c>
      <c r="V677" s="76"/>
      <c r="W677" s="76">
        <v>0</v>
      </c>
      <c r="X677" s="76"/>
      <c r="Y677" s="76">
        <v>0</v>
      </c>
      <c r="Z677" s="76"/>
      <c r="AA677" s="76">
        <v>0</v>
      </c>
      <c r="AB677" s="76"/>
      <c r="AC677" s="76">
        <v>0</v>
      </c>
      <c r="AD677" s="76"/>
      <c r="AE677" s="76">
        <f t="shared" si="70"/>
        <v>66215</v>
      </c>
      <c r="AF677" s="76"/>
      <c r="AG677" s="76">
        <v>-3464</v>
      </c>
      <c r="AH677" s="76"/>
      <c r="AI677" s="76">
        <v>28369</v>
      </c>
      <c r="AJ677" s="76"/>
      <c r="AK677" s="76">
        <v>24905</v>
      </c>
      <c r="AL677" s="24">
        <f>+'Gen Rev'!AI674-'Gen Exp'!AE677+'Gen Exp'!AI677-AK677</f>
        <v>0</v>
      </c>
      <c r="AM677" s="41" t="str">
        <f>'Gen Rev'!A674</f>
        <v>Wayne</v>
      </c>
      <c r="AN677" s="21" t="str">
        <f t="shared" si="71"/>
        <v>Wayne</v>
      </c>
      <c r="AO677" s="21" t="b">
        <f t="shared" si="72"/>
        <v>1</v>
      </c>
    </row>
    <row r="678" spans="1:41" s="21" customFormat="1" ht="12" hidden="1" customHeight="1" x14ac:dyDescent="0.2">
      <c r="A678" s="1" t="s">
        <v>339</v>
      </c>
      <c r="B678" s="1"/>
      <c r="C678" s="1" t="s">
        <v>329</v>
      </c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>
        <f t="shared" si="70"/>
        <v>0</v>
      </c>
      <c r="AF678" s="76"/>
      <c r="AG678" s="76"/>
      <c r="AH678" s="76"/>
      <c r="AI678" s="76"/>
      <c r="AJ678" s="76"/>
      <c r="AK678" s="76"/>
      <c r="AL678" s="24">
        <f>+'Gen Rev'!AI675-'Gen Exp'!AE678+'Gen Exp'!AI678-AK678</f>
        <v>0</v>
      </c>
      <c r="AM678" s="41" t="str">
        <f>'Gen Rev'!A675</f>
        <v>Wayne Lakes</v>
      </c>
      <c r="AN678" s="21" t="str">
        <f t="shared" si="71"/>
        <v>Wayne Lakes</v>
      </c>
      <c r="AO678" s="21" t="b">
        <f t="shared" si="72"/>
        <v>1</v>
      </c>
    </row>
    <row r="679" spans="1:41" ht="12" customHeight="1" x14ac:dyDescent="0.2">
      <c r="A679" s="1" t="s">
        <v>547</v>
      </c>
      <c r="C679" s="1" t="s">
        <v>540</v>
      </c>
      <c r="E679" s="76">
        <v>40331</v>
      </c>
      <c r="F679" s="76"/>
      <c r="G679" s="76">
        <v>0</v>
      </c>
      <c r="H679" s="76"/>
      <c r="I679" s="76">
        <v>0</v>
      </c>
      <c r="J679" s="76"/>
      <c r="K679" s="76">
        <v>0</v>
      </c>
      <c r="L679" s="76"/>
      <c r="M679" s="76">
        <v>0</v>
      </c>
      <c r="N679" s="76"/>
      <c r="O679" s="76">
        <v>0</v>
      </c>
      <c r="P679" s="76"/>
      <c r="Q679" s="76">
        <v>77472</v>
      </c>
      <c r="R679" s="76"/>
      <c r="S679" s="76">
        <v>0</v>
      </c>
      <c r="T679" s="76"/>
      <c r="U679" s="76">
        <v>0</v>
      </c>
      <c r="V679" s="76"/>
      <c r="W679" s="76">
        <v>0</v>
      </c>
      <c r="X679" s="76"/>
      <c r="Y679" s="76">
        <v>0</v>
      </c>
      <c r="Z679" s="76"/>
      <c r="AA679" s="76">
        <v>0</v>
      </c>
      <c r="AB679" s="76"/>
      <c r="AC679" s="76">
        <v>0</v>
      </c>
      <c r="AD679" s="76"/>
      <c r="AE679" s="76">
        <f t="shared" si="70"/>
        <v>117803</v>
      </c>
      <c r="AF679" s="76"/>
      <c r="AG679" s="76">
        <v>-20095</v>
      </c>
      <c r="AH679" s="76"/>
      <c r="AI679" s="76">
        <v>43982</v>
      </c>
      <c r="AJ679" s="76"/>
      <c r="AK679" s="76">
        <v>23887</v>
      </c>
      <c r="AL679" s="24">
        <f>+'Gen Rev'!AI676-'Gen Exp'!AE679+'Gen Exp'!AI679-AK679</f>
        <v>0</v>
      </c>
      <c r="AM679" s="41" t="str">
        <f>'Gen Rev'!A676</f>
        <v>Waynesburg</v>
      </c>
      <c r="AN679" s="21" t="str">
        <f t="shared" si="71"/>
        <v>Waynesburg</v>
      </c>
      <c r="AO679" s="21" t="b">
        <f t="shared" si="72"/>
        <v>1</v>
      </c>
    </row>
    <row r="680" spans="1:41" s="21" customFormat="1" ht="12" customHeight="1" x14ac:dyDescent="0.2">
      <c r="A680" s="1" t="s">
        <v>14</v>
      </c>
      <c r="B680" s="1"/>
      <c r="C680" s="1" t="s">
        <v>740</v>
      </c>
      <c r="D680" s="23"/>
      <c r="E680" s="76">
        <v>84531.78</v>
      </c>
      <c r="F680" s="76"/>
      <c r="G680" s="76">
        <v>29.4</v>
      </c>
      <c r="H680" s="76"/>
      <c r="I680" s="76">
        <v>8138.26</v>
      </c>
      <c r="J680" s="76"/>
      <c r="K680" s="76">
        <v>0</v>
      </c>
      <c r="L680" s="76"/>
      <c r="M680" s="76">
        <v>25000</v>
      </c>
      <c r="N680" s="76"/>
      <c r="O680" s="76">
        <v>11747.04</v>
      </c>
      <c r="P680" s="76"/>
      <c r="Q680" s="76">
        <v>154451.72</v>
      </c>
      <c r="R680" s="76"/>
      <c r="S680" s="76">
        <v>0</v>
      </c>
      <c r="T680" s="76"/>
      <c r="U680" s="76">
        <v>3989.74</v>
      </c>
      <c r="V680" s="76"/>
      <c r="W680" s="76">
        <v>0</v>
      </c>
      <c r="X680" s="76"/>
      <c r="Y680" s="76">
        <v>0</v>
      </c>
      <c r="Z680" s="76"/>
      <c r="AA680" s="76">
        <v>0</v>
      </c>
      <c r="AB680" s="76"/>
      <c r="AC680" s="76">
        <v>0</v>
      </c>
      <c r="AD680" s="76"/>
      <c r="AE680" s="76">
        <f t="shared" si="70"/>
        <v>287887.93999999994</v>
      </c>
      <c r="AF680" s="76"/>
      <c r="AG680" s="76">
        <v>-29872.12</v>
      </c>
      <c r="AH680" s="76"/>
      <c r="AI680" s="76">
        <v>192650.9</v>
      </c>
      <c r="AJ680" s="76"/>
      <c r="AK680" s="76">
        <v>162778.78</v>
      </c>
      <c r="AL680" s="24">
        <f>+'Gen Rev'!AI677-'Gen Exp'!AE680+'Gen Exp'!AI680-AK680</f>
        <v>0</v>
      </c>
      <c r="AM680" s="41" t="str">
        <f>'Gen Rev'!A677</f>
        <v>Waynesfield</v>
      </c>
      <c r="AN680" s="21" t="str">
        <f t="shared" si="71"/>
        <v>Waynesfield</v>
      </c>
      <c r="AO680" s="21" t="b">
        <f t="shared" si="72"/>
        <v>1</v>
      </c>
    </row>
    <row r="681" spans="1:41" s="21" customFormat="1" ht="12" customHeight="1" x14ac:dyDescent="0.2">
      <c r="A681" s="1" t="s">
        <v>583</v>
      </c>
      <c r="B681" s="1"/>
      <c r="C681" s="1" t="s">
        <v>581</v>
      </c>
      <c r="D681" s="1"/>
      <c r="E681" s="76">
        <v>43835</v>
      </c>
      <c r="F681" s="76"/>
      <c r="G681" s="76">
        <v>868</v>
      </c>
      <c r="H681" s="76"/>
      <c r="I681" s="76">
        <v>2000</v>
      </c>
      <c r="J681" s="76"/>
      <c r="K681" s="76">
        <v>20450</v>
      </c>
      <c r="L681" s="76"/>
      <c r="M681" s="76">
        <v>0</v>
      </c>
      <c r="N681" s="76"/>
      <c r="O681" s="76">
        <v>0</v>
      </c>
      <c r="P681" s="76"/>
      <c r="Q681" s="76">
        <v>208097</v>
      </c>
      <c r="R681" s="76"/>
      <c r="S681" s="76">
        <v>1000</v>
      </c>
      <c r="T681" s="76"/>
      <c r="U681" s="76">
        <v>305700</v>
      </c>
      <c r="V681" s="76"/>
      <c r="W681" s="76">
        <v>18706</v>
      </c>
      <c r="X681" s="76"/>
      <c r="Y681" s="76">
        <v>0</v>
      </c>
      <c r="Z681" s="76"/>
      <c r="AA681" s="76">
        <v>0</v>
      </c>
      <c r="AB681" s="76"/>
      <c r="AC681" s="76">
        <v>18918</v>
      </c>
      <c r="AD681" s="76"/>
      <c r="AE681" s="76">
        <f t="shared" si="70"/>
        <v>619574</v>
      </c>
      <c r="AF681" s="76"/>
      <c r="AG681" s="76">
        <v>144279</v>
      </c>
      <c r="AH681" s="76"/>
      <c r="AI681" s="76">
        <v>248161</v>
      </c>
      <c r="AJ681" s="76"/>
      <c r="AK681" s="76">
        <v>392440</v>
      </c>
      <c r="AL681" s="24">
        <f>+'Gen Rev'!AI681-'Gen Exp'!AE681+'Gen Exp'!AI681-AK681</f>
        <v>0</v>
      </c>
      <c r="AM681" s="41" t="str">
        <f>'Gen Rev'!A681</f>
        <v>Waynesville</v>
      </c>
      <c r="AN681" s="21" t="str">
        <f t="shared" si="71"/>
        <v>Waynesville</v>
      </c>
      <c r="AO681" s="21" t="b">
        <f t="shared" si="72"/>
        <v>1</v>
      </c>
    </row>
    <row r="682" spans="1:41" ht="12" customHeight="1" x14ac:dyDescent="0.2">
      <c r="A682" s="1" t="s">
        <v>453</v>
      </c>
      <c r="C682" s="1" t="s">
        <v>451</v>
      </c>
      <c r="E682" s="76">
        <v>1007478</v>
      </c>
      <c r="F682" s="76"/>
      <c r="G682" s="76">
        <v>23649</v>
      </c>
      <c r="H682" s="76"/>
      <c r="I682" s="76">
        <v>57156</v>
      </c>
      <c r="J682" s="76"/>
      <c r="K682" s="76">
        <v>98301</v>
      </c>
      <c r="L682" s="76"/>
      <c r="M682" s="76">
        <v>0</v>
      </c>
      <c r="N682" s="76"/>
      <c r="O682" s="76">
        <v>687614</v>
      </c>
      <c r="P682" s="76"/>
      <c r="Q682" s="76">
        <v>398900</v>
      </c>
      <c r="R682" s="76"/>
      <c r="S682" s="76">
        <v>0</v>
      </c>
      <c r="T682" s="76"/>
      <c r="U682" s="76">
        <v>0</v>
      </c>
      <c r="V682" s="76"/>
      <c r="W682" s="76">
        <v>0</v>
      </c>
      <c r="X682" s="76"/>
      <c r="Y682" s="76">
        <v>0</v>
      </c>
      <c r="Z682" s="76"/>
      <c r="AA682" s="76">
        <v>0</v>
      </c>
      <c r="AB682" s="76"/>
      <c r="AC682" s="76">
        <v>0</v>
      </c>
      <c r="AD682" s="76"/>
      <c r="AE682" s="76">
        <f t="shared" si="70"/>
        <v>2273098</v>
      </c>
      <c r="AF682" s="76"/>
      <c r="AG682" s="76">
        <v>-15495</v>
      </c>
      <c r="AH682" s="76"/>
      <c r="AI682" s="76">
        <v>839654</v>
      </c>
      <c r="AJ682" s="76"/>
      <c r="AK682" s="76">
        <v>824159</v>
      </c>
      <c r="AL682" s="24">
        <f>+'Gen Rev'!AI682-'Gen Exp'!AE682+'Gen Exp'!AI682-AK682</f>
        <v>0</v>
      </c>
      <c r="AM682" s="41" t="str">
        <f>'Gen Rev'!A682</f>
        <v>Wellington</v>
      </c>
      <c r="AN682" s="21" t="str">
        <f t="shared" si="71"/>
        <v>Wellington</v>
      </c>
      <c r="AO682" s="21" t="b">
        <f t="shared" si="72"/>
        <v>1</v>
      </c>
    </row>
    <row r="683" spans="1:41" s="19" customFormat="1" ht="12" customHeight="1" x14ac:dyDescent="0.2">
      <c r="A683" s="1" t="s">
        <v>306</v>
      </c>
      <c r="B683" s="1"/>
      <c r="C683" s="1" t="s">
        <v>305</v>
      </c>
      <c r="D683" s="23"/>
      <c r="E683" s="76">
        <v>479282.72</v>
      </c>
      <c r="F683" s="76"/>
      <c r="G683" s="76">
        <v>0</v>
      </c>
      <c r="H683" s="76"/>
      <c r="I683" s="76">
        <v>11970.86</v>
      </c>
      <c r="J683" s="76"/>
      <c r="K683" s="76">
        <v>0</v>
      </c>
      <c r="L683" s="76"/>
      <c r="M683" s="76">
        <v>0</v>
      </c>
      <c r="N683" s="76"/>
      <c r="O683" s="76">
        <v>0</v>
      </c>
      <c r="P683" s="76"/>
      <c r="Q683" s="76">
        <v>398036.33</v>
      </c>
      <c r="R683" s="76"/>
      <c r="S683" s="76">
        <v>44240.62</v>
      </c>
      <c r="T683" s="76"/>
      <c r="U683" s="76">
        <v>0</v>
      </c>
      <c r="V683" s="76"/>
      <c r="W683" s="76">
        <v>0</v>
      </c>
      <c r="X683" s="76"/>
      <c r="Y683" s="76">
        <v>100000</v>
      </c>
      <c r="Z683" s="76"/>
      <c r="AA683" s="76">
        <v>60000</v>
      </c>
      <c r="AB683" s="76"/>
      <c r="AC683" s="76">
        <v>0</v>
      </c>
      <c r="AD683" s="76"/>
      <c r="AE683" s="76">
        <f t="shared" si="70"/>
        <v>1093530.5299999998</v>
      </c>
      <c r="AF683" s="76"/>
      <c r="AG683" s="76">
        <v>971399.11</v>
      </c>
      <c r="AH683" s="76"/>
      <c r="AI683" s="76">
        <v>-7044.97</v>
      </c>
      <c r="AJ683" s="76"/>
      <c r="AK683" s="76">
        <v>964354.14</v>
      </c>
      <c r="AL683" s="24">
        <f>+'Gen Rev'!AI683-'Gen Exp'!AE683+'Gen Exp'!AI683-AK683</f>
        <v>0</v>
      </c>
      <c r="AM683" s="41" t="str">
        <f>'Gen Rev'!A683</f>
        <v>Wellsville</v>
      </c>
      <c r="AN683" s="21" t="str">
        <f t="shared" si="71"/>
        <v>Wellsville</v>
      </c>
      <c r="AO683" s="21" t="b">
        <f t="shared" si="72"/>
        <v>1</v>
      </c>
    </row>
    <row r="684" spans="1:41" s="21" customFormat="1" ht="12" customHeight="1" x14ac:dyDescent="0.2">
      <c r="A684" s="1" t="s">
        <v>512</v>
      </c>
      <c r="B684" s="1"/>
      <c r="C684" s="1" t="s">
        <v>509</v>
      </c>
      <c r="D684" s="1"/>
      <c r="E684" s="76">
        <v>228001</v>
      </c>
      <c r="F684" s="76"/>
      <c r="G684" s="76">
        <v>3331</v>
      </c>
      <c r="H684" s="76"/>
      <c r="I684" s="76">
        <v>17912</v>
      </c>
      <c r="J684" s="76"/>
      <c r="K684" s="76">
        <v>5784</v>
      </c>
      <c r="L684" s="76"/>
      <c r="M684" s="76">
        <v>0</v>
      </c>
      <c r="N684" s="76"/>
      <c r="O684" s="76">
        <v>0</v>
      </c>
      <c r="P684" s="76"/>
      <c r="Q684" s="76">
        <v>406036</v>
      </c>
      <c r="R684" s="76"/>
      <c r="S684" s="76">
        <v>0</v>
      </c>
      <c r="T684" s="76"/>
      <c r="U684" s="76">
        <v>0</v>
      </c>
      <c r="V684" s="76"/>
      <c r="W684" s="76">
        <v>0</v>
      </c>
      <c r="X684" s="76"/>
      <c r="Y684" s="76">
        <v>0</v>
      </c>
      <c r="Z684" s="76"/>
      <c r="AA684" s="76">
        <v>0</v>
      </c>
      <c r="AB684" s="76"/>
      <c r="AC684" s="76">
        <v>0</v>
      </c>
      <c r="AD684" s="76"/>
      <c r="AE684" s="76">
        <f t="shared" si="70"/>
        <v>661064</v>
      </c>
      <c r="AF684" s="76"/>
      <c r="AG684" s="76">
        <v>-49605</v>
      </c>
      <c r="AH684" s="76"/>
      <c r="AI684" s="76">
        <v>565136</v>
      </c>
      <c r="AJ684" s="76"/>
      <c r="AK684" s="76">
        <v>515532</v>
      </c>
      <c r="AL684" s="24">
        <f>+'Gen Rev'!AI684-'Gen Exp'!AE684+'Gen Exp'!AI684-AK684</f>
        <v>0</v>
      </c>
      <c r="AM684" s="41" t="str">
        <f>'Gen Rev'!A684</f>
        <v>West Alexandria</v>
      </c>
      <c r="AN684" s="21" t="str">
        <f t="shared" si="71"/>
        <v>West Alexandria</v>
      </c>
      <c r="AO684" s="21" t="b">
        <f t="shared" si="72"/>
        <v>1</v>
      </c>
    </row>
    <row r="685" spans="1:41" s="21" customFormat="1" ht="12" customHeight="1" x14ac:dyDescent="0.2">
      <c r="A685" s="1" t="s">
        <v>937</v>
      </c>
      <c r="B685" s="1"/>
      <c r="C685" s="1" t="s">
        <v>509</v>
      </c>
      <c r="D685" s="23"/>
      <c r="E685" s="76">
        <v>2320.41</v>
      </c>
      <c r="F685" s="76"/>
      <c r="G685" s="76">
        <v>0</v>
      </c>
      <c r="H685" s="76"/>
      <c r="I685" s="76">
        <v>0</v>
      </c>
      <c r="J685" s="76"/>
      <c r="K685" s="76">
        <v>0</v>
      </c>
      <c r="L685" s="76"/>
      <c r="M685" s="76">
        <v>0</v>
      </c>
      <c r="N685" s="76"/>
      <c r="O685" s="76">
        <v>0</v>
      </c>
      <c r="P685" s="76"/>
      <c r="Q685" s="76">
        <v>33587.86</v>
      </c>
      <c r="R685" s="76"/>
      <c r="S685" s="76">
        <v>0</v>
      </c>
      <c r="T685" s="76"/>
      <c r="U685" s="76">
        <v>0</v>
      </c>
      <c r="V685" s="76"/>
      <c r="W685" s="76">
        <v>0</v>
      </c>
      <c r="X685" s="76"/>
      <c r="Y685" s="76">
        <v>0</v>
      </c>
      <c r="Z685" s="76"/>
      <c r="AA685" s="76">
        <v>0</v>
      </c>
      <c r="AB685" s="76"/>
      <c r="AC685" s="76">
        <v>0</v>
      </c>
      <c r="AD685" s="76"/>
      <c r="AE685" s="76">
        <f t="shared" si="70"/>
        <v>35908.270000000004</v>
      </c>
      <c r="AF685" s="76"/>
      <c r="AG685" s="76">
        <v>10666.59</v>
      </c>
      <c r="AH685" s="76"/>
      <c r="AI685" s="76">
        <v>49946.47</v>
      </c>
      <c r="AJ685" s="76"/>
      <c r="AK685" s="76">
        <v>60613.06</v>
      </c>
      <c r="AL685" s="24">
        <f>+'Gen Rev'!AI685-'Gen Exp'!AE685+'Gen Exp'!AI685-AK685</f>
        <v>0</v>
      </c>
      <c r="AM685" s="41" t="str">
        <f>'Gen Rev'!A685</f>
        <v>West Elkton</v>
      </c>
      <c r="AN685" s="21" t="str">
        <f t="shared" si="71"/>
        <v>West Elkton</v>
      </c>
      <c r="AO685" s="21" t="b">
        <f t="shared" si="72"/>
        <v>1</v>
      </c>
    </row>
    <row r="686" spans="1:41" ht="12" customHeight="1" x14ac:dyDescent="0.2">
      <c r="A686" s="1" t="s">
        <v>230</v>
      </c>
      <c r="C686" s="1" t="s">
        <v>805</v>
      </c>
      <c r="D686" s="23"/>
      <c r="E686" s="76">
        <v>0</v>
      </c>
      <c r="F686" s="76"/>
      <c r="G686" s="76">
        <v>0</v>
      </c>
      <c r="H686" s="76"/>
      <c r="I686" s="76">
        <v>11591.71</v>
      </c>
      <c r="J686" s="76"/>
      <c r="K686" s="76">
        <v>0</v>
      </c>
      <c r="L686" s="76"/>
      <c r="M686" s="76">
        <v>250</v>
      </c>
      <c r="N686" s="76"/>
      <c r="O686" s="76">
        <v>0</v>
      </c>
      <c r="P686" s="76"/>
      <c r="Q686" s="76">
        <v>50251.97</v>
      </c>
      <c r="R686" s="76"/>
      <c r="S686" s="76">
        <v>0</v>
      </c>
      <c r="T686" s="76"/>
      <c r="U686" s="76">
        <v>0</v>
      </c>
      <c r="V686" s="76"/>
      <c r="W686" s="76">
        <v>0</v>
      </c>
      <c r="X686" s="76"/>
      <c r="Y686" s="76">
        <v>32156.55</v>
      </c>
      <c r="Z686" s="76"/>
      <c r="AA686" s="76">
        <v>0</v>
      </c>
      <c r="AB686" s="76"/>
      <c r="AC686" s="76">
        <v>0</v>
      </c>
      <c r="AD686" s="76"/>
      <c r="AE686" s="76">
        <f t="shared" si="70"/>
        <v>94250.23</v>
      </c>
      <c r="AF686" s="76"/>
      <c r="AG686" s="76">
        <v>-16373.44</v>
      </c>
      <c r="AH686" s="76"/>
      <c r="AI686" s="76">
        <v>24280.799999999999</v>
      </c>
      <c r="AJ686" s="76"/>
      <c r="AK686" s="76">
        <v>7907.36</v>
      </c>
      <c r="AL686" s="24">
        <f>+'Gen Rev'!AI686-'Gen Exp'!AE686+'Gen Exp'!AI686-AK686</f>
        <v>-9.9999999829378794E-3</v>
      </c>
      <c r="AM686" s="41" t="str">
        <f>'Gen Rev'!A686</f>
        <v>West Farmington</v>
      </c>
      <c r="AN686" s="21" t="str">
        <f t="shared" si="71"/>
        <v>West Farmington</v>
      </c>
      <c r="AO686" s="21" t="b">
        <f t="shared" si="72"/>
        <v>1</v>
      </c>
    </row>
    <row r="687" spans="1:41" s="21" customFormat="1" ht="12" customHeight="1" x14ac:dyDescent="0.2">
      <c r="A687" s="1" t="s">
        <v>938</v>
      </c>
      <c r="B687" s="1"/>
      <c r="C687" s="1" t="s">
        <v>432</v>
      </c>
      <c r="D687" s="1"/>
      <c r="E687" s="76">
        <v>1158213.04</v>
      </c>
      <c r="F687" s="76"/>
      <c r="G687" s="76">
        <v>0</v>
      </c>
      <c r="H687" s="76"/>
      <c r="I687" s="76">
        <v>38034.54</v>
      </c>
      <c r="J687" s="76"/>
      <c r="K687" s="76">
        <v>106374.2</v>
      </c>
      <c r="L687" s="76"/>
      <c r="M687" s="76">
        <v>0</v>
      </c>
      <c r="N687" s="76"/>
      <c r="O687" s="76">
        <v>0</v>
      </c>
      <c r="P687" s="76"/>
      <c r="Q687" s="76">
        <v>909586.53</v>
      </c>
      <c r="R687" s="76"/>
      <c r="S687" s="76">
        <v>0</v>
      </c>
      <c r="T687" s="76"/>
      <c r="U687" s="76">
        <v>82091.67</v>
      </c>
      <c r="V687" s="76"/>
      <c r="W687" s="76">
        <v>13667.6</v>
      </c>
      <c r="X687" s="76"/>
      <c r="Y687" s="76">
        <v>0</v>
      </c>
      <c r="Z687" s="76"/>
      <c r="AA687" s="76">
        <v>0</v>
      </c>
      <c r="AB687" s="76"/>
      <c r="AC687" s="76">
        <v>408.75</v>
      </c>
      <c r="AD687" s="76"/>
      <c r="AE687" s="76">
        <f t="shared" si="70"/>
        <v>2308376.33</v>
      </c>
      <c r="AF687" s="76"/>
      <c r="AG687" s="76">
        <v>255207.85</v>
      </c>
      <c r="AH687" s="76"/>
      <c r="AI687" s="76">
        <v>434136.22</v>
      </c>
      <c r="AJ687" s="76"/>
      <c r="AK687" s="76">
        <v>689344.07</v>
      </c>
      <c r="AL687" s="24">
        <f>+'Gen Rev'!AI687-'Gen Exp'!AE687+'Gen Exp'!AI687-AK687</f>
        <v>0</v>
      </c>
      <c r="AM687" s="41" t="str">
        <f>'Gen Rev'!A687</f>
        <v>West Jefferson</v>
      </c>
      <c r="AN687" s="21" t="str">
        <f t="shared" si="71"/>
        <v>West Jefferson</v>
      </c>
      <c r="AO687" s="21" t="b">
        <f t="shared" si="72"/>
        <v>1</v>
      </c>
    </row>
    <row r="688" spans="1:41" ht="12" customHeight="1" x14ac:dyDescent="0.2">
      <c r="A688" s="1" t="s">
        <v>310</v>
      </c>
      <c r="C688" s="1" t="s">
        <v>308</v>
      </c>
      <c r="E688" s="76">
        <v>318118</v>
      </c>
      <c r="F688" s="76"/>
      <c r="G688" s="76">
        <v>4382</v>
      </c>
      <c r="H688" s="76"/>
      <c r="I688" s="76">
        <v>1965</v>
      </c>
      <c r="J688" s="76"/>
      <c r="K688" s="76">
        <v>0</v>
      </c>
      <c r="L688" s="76"/>
      <c r="M688" s="76">
        <v>4013</v>
      </c>
      <c r="N688" s="76"/>
      <c r="O688" s="76">
        <v>0</v>
      </c>
      <c r="P688" s="76"/>
      <c r="Q688" s="76">
        <v>106074</v>
      </c>
      <c r="R688" s="76"/>
      <c r="S688" s="76">
        <v>0</v>
      </c>
      <c r="T688" s="76"/>
      <c r="U688" s="76">
        <v>41400</v>
      </c>
      <c r="V688" s="76"/>
      <c r="W688" s="76">
        <v>1047</v>
      </c>
      <c r="X688" s="76"/>
      <c r="Y688" s="76">
        <v>53272</v>
      </c>
      <c r="Z688" s="76"/>
      <c r="AA688" s="76">
        <v>35000</v>
      </c>
      <c r="AB688" s="76"/>
      <c r="AC688" s="76">
        <v>0</v>
      </c>
      <c r="AD688" s="76"/>
      <c r="AE688" s="76">
        <f t="shared" si="70"/>
        <v>565271</v>
      </c>
      <c r="AF688" s="76"/>
      <c r="AG688" s="76">
        <v>-89301</v>
      </c>
      <c r="AH688" s="76"/>
      <c r="AI688" s="76">
        <v>277758</v>
      </c>
      <c r="AJ688" s="76"/>
      <c r="AK688" s="76">
        <v>188457</v>
      </c>
      <c r="AL688" s="24">
        <f>+'Gen Rev'!AI688-'Gen Exp'!AE688+'Gen Exp'!AI688-AK688</f>
        <v>0</v>
      </c>
      <c r="AM688" s="41" t="str">
        <f>'Gen Rev'!A688</f>
        <v>West Lafayette</v>
      </c>
      <c r="AN688" s="21" t="str">
        <f t="shared" si="71"/>
        <v>West Lafayette</v>
      </c>
      <c r="AO688" s="21" t="b">
        <f t="shared" si="72"/>
        <v>1</v>
      </c>
    </row>
    <row r="689" spans="1:41" ht="12" customHeight="1" x14ac:dyDescent="0.2">
      <c r="A689" s="15" t="s">
        <v>899</v>
      </c>
      <c r="B689" s="15"/>
      <c r="C689" s="15" t="s">
        <v>513</v>
      </c>
      <c r="D689" s="23"/>
      <c r="E689" s="76">
        <v>17110.95</v>
      </c>
      <c r="F689" s="76"/>
      <c r="G689" s="76">
        <v>0</v>
      </c>
      <c r="H689" s="76"/>
      <c r="I689" s="76">
        <v>0</v>
      </c>
      <c r="J689" s="76"/>
      <c r="K689" s="76">
        <v>0</v>
      </c>
      <c r="L689" s="76"/>
      <c r="M689" s="76">
        <v>825</v>
      </c>
      <c r="N689" s="76"/>
      <c r="O689" s="76">
        <v>2335</v>
      </c>
      <c r="P689" s="76"/>
      <c r="Q689" s="76">
        <v>31399.94</v>
      </c>
      <c r="R689" s="76"/>
      <c r="S689" s="76">
        <v>0</v>
      </c>
      <c r="T689" s="76"/>
      <c r="U689" s="76">
        <v>0</v>
      </c>
      <c r="V689" s="76"/>
      <c r="W689" s="76">
        <v>0</v>
      </c>
      <c r="X689" s="76"/>
      <c r="Y689" s="76">
        <v>1500</v>
      </c>
      <c r="Z689" s="76"/>
      <c r="AA689" s="76">
        <v>0</v>
      </c>
      <c r="AB689" s="76"/>
      <c r="AC689" s="76">
        <v>5436.16</v>
      </c>
      <c r="AD689" s="76"/>
      <c r="AE689" s="76">
        <f t="shared" si="70"/>
        <v>58607.05</v>
      </c>
      <c r="AF689" s="76"/>
      <c r="AG689" s="76">
        <v>-392.18</v>
      </c>
      <c r="AH689" s="76"/>
      <c r="AI689" s="76">
        <v>74975.8</v>
      </c>
      <c r="AJ689" s="76"/>
      <c r="AK689" s="76">
        <v>74583.62</v>
      </c>
      <c r="AL689" s="24">
        <f>+'Gen Rev'!AI689-'Gen Exp'!AE689+'Gen Exp'!AI689-AK689</f>
        <v>0</v>
      </c>
      <c r="AM689" s="41" t="str">
        <f>'Gen Rev'!A689</f>
        <v>West Leipsic</v>
      </c>
      <c r="AN689" s="21" t="str">
        <f t="shared" si="71"/>
        <v>West Leipsic</v>
      </c>
      <c r="AO689" s="21" t="b">
        <f t="shared" si="72"/>
        <v>1</v>
      </c>
    </row>
    <row r="690" spans="1:41" ht="12" customHeight="1" x14ac:dyDescent="0.2">
      <c r="A690" s="1" t="s">
        <v>135</v>
      </c>
      <c r="C690" s="1" t="s">
        <v>775</v>
      </c>
      <c r="E690" s="76">
        <v>303349.53000000003</v>
      </c>
      <c r="F690" s="76"/>
      <c r="G690" s="76">
        <v>0</v>
      </c>
      <c r="H690" s="76"/>
      <c r="I690" s="76">
        <v>11244.09</v>
      </c>
      <c r="J690" s="76"/>
      <c r="K690" s="76">
        <v>2182.1</v>
      </c>
      <c r="L690" s="76"/>
      <c r="M690" s="76">
        <v>0</v>
      </c>
      <c r="N690" s="76"/>
      <c r="O690" s="76">
        <v>10080</v>
      </c>
      <c r="P690" s="76"/>
      <c r="Q690" s="76">
        <v>133204.75</v>
      </c>
      <c r="R690" s="76"/>
      <c r="S690" s="76">
        <v>0</v>
      </c>
      <c r="T690" s="76"/>
      <c r="U690" s="76">
        <v>16600</v>
      </c>
      <c r="V690" s="76"/>
      <c r="W690" s="76">
        <v>1983.08</v>
      </c>
      <c r="X690" s="76"/>
      <c r="Y690" s="76">
        <v>46785.95</v>
      </c>
      <c r="Z690" s="76"/>
      <c r="AA690" s="76">
        <v>3070.34</v>
      </c>
      <c r="AB690" s="76"/>
      <c r="AC690" s="76">
        <v>10000</v>
      </c>
      <c r="AD690" s="76"/>
      <c r="AE690" s="76">
        <f t="shared" si="70"/>
        <v>538499.83999999997</v>
      </c>
      <c r="AF690" s="76"/>
      <c r="AG690" s="76">
        <v>-93926.26</v>
      </c>
      <c r="AH690" s="76"/>
      <c r="AI690" s="76">
        <v>399675.41</v>
      </c>
      <c r="AJ690" s="76"/>
      <c r="AK690" s="76">
        <v>305749.15000000002</v>
      </c>
      <c r="AL690" s="24">
        <f>+'Gen Rev'!AI690-'Gen Exp'!AE690+'Gen Exp'!AI690-AK690</f>
        <v>0</v>
      </c>
      <c r="AM690" s="41" t="str">
        <f>'Gen Rev'!A690</f>
        <v>West Liberty</v>
      </c>
      <c r="AN690" s="21" t="str">
        <f t="shared" si="71"/>
        <v>West Liberty</v>
      </c>
      <c r="AO690" s="21" t="b">
        <f t="shared" si="72"/>
        <v>1</v>
      </c>
    </row>
    <row r="691" spans="1:41" ht="12" customHeight="1" x14ac:dyDescent="0.2">
      <c r="A691" s="1" t="s">
        <v>900</v>
      </c>
      <c r="C691" s="1" t="s">
        <v>509</v>
      </c>
      <c r="D691" s="23"/>
      <c r="E691" s="76">
        <v>6248</v>
      </c>
      <c r="F691" s="76"/>
      <c r="G691" s="76">
        <v>0</v>
      </c>
      <c r="H691" s="76"/>
      <c r="I691" s="76">
        <v>1142</v>
      </c>
      <c r="J691" s="76"/>
      <c r="K691" s="76">
        <v>0</v>
      </c>
      <c r="L691" s="76"/>
      <c r="M691" s="76">
        <v>31699</v>
      </c>
      <c r="N691" s="76"/>
      <c r="O691" s="76">
        <v>8491</v>
      </c>
      <c r="P691" s="76"/>
      <c r="Q691" s="76">
        <v>59416</v>
      </c>
      <c r="R691" s="76"/>
      <c r="S691" s="76">
        <v>0</v>
      </c>
      <c r="T691" s="76"/>
      <c r="U691" s="76">
        <v>0</v>
      </c>
      <c r="V691" s="76"/>
      <c r="W691" s="76">
        <v>0</v>
      </c>
      <c r="X691" s="76"/>
      <c r="Y691" s="76">
        <v>3537</v>
      </c>
      <c r="Z691" s="76"/>
      <c r="AA691" s="76">
        <v>0</v>
      </c>
      <c r="AB691" s="76"/>
      <c r="AC691" s="76">
        <v>0</v>
      </c>
      <c r="AD691" s="76"/>
      <c r="AE691" s="76">
        <f t="shared" si="70"/>
        <v>110533</v>
      </c>
      <c r="AF691" s="76"/>
      <c r="AG691" s="76">
        <f>73517-106996-3537</f>
        <v>-37016</v>
      </c>
      <c r="AH691" s="76"/>
      <c r="AI691" s="76">
        <f>AK691-AG691</f>
        <v>103946</v>
      </c>
      <c r="AJ691" s="76"/>
      <c r="AK691" s="76">
        <v>66930</v>
      </c>
      <c r="AL691" s="24">
        <f>+'Gen Rev'!AI691-'Gen Exp'!AE691+'Gen Exp'!AI691-AK691</f>
        <v>0</v>
      </c>
      <c r="AM691" s="41" t="str">
        <f>'Gen Rev'!A691</f>
        <v>West Manchester</v>
      </c>
      <c r="AN691" s="21" t="str">
        <f t="shared" si="71"/>
        <v>West Manchester</v>
      </c>
      <c r="AO691" s="21" t="b">
        <f t="shared" si="72"/>
        <v>1</v>
      </c>
    </row>
    <row r="692" spans="1:41" ht="12" customHeight="1" x14ac:dyDescent="0.2">
      <c r="A692" s="1" t="s">
        <v>939</v>
      </c>
      <c r="C692" s="1" t="s">
        <v>446</v>
      </c>
      <c r="D692" s="23"/>
      <c r="E692" s="76">
        <v>0</v>
      </c>
      <c r="F692" s="76"/>
      <c r="G692" s="76">
        <v>4165.33</v>
      </c>
      <c r="H692" s="76"/>
      <c r="I692" s="76">
        <v>10727.25</v>
      </c>
      <c r="J692" s="76"/>
      <c r="K692" s="76">
        <v>2710.08</v>
      </c>
      <c r="L692" s="76"/>
      <c r="M692" s="76">
        <v>0</v>
      </c>
      <c r="N692" s="76"/>
      <c r="O692" s="76">
        <v>0</v>
      </c>
      <c r="P692" s="76"/>
      <c r="Q692" s="76">
        <v>75401.62</v>
      </c>
      <c r="R692" s="76"/>
      <c r="S692" s="76">
        <v>0</v>
      </c>
      <c r="T692" s="76"/>
      <c r="U692" s="76">
        <v>0</v>
      </c>
      <c r="V692" s="76"/>
      <c r="W692" s="76">
        <v>0</v>
      </c>
      <c r="X692" s="76"/>
      <c r="Y692" s="76">
        <v>47900</v>
      </c>
      <c r="Z692" s="76"/>
      <c r="AA692" s="76">
        <v>0</v>
      </c>
      <c r="AB692" s="76"/>
      <c r="AC692" s="76">
        <v>0</v>
      </c>
      <c r="AD692" s="76"/>
      <c r="AE692" s="76">
        <f t="shared" si="70"/>
        <v>140904.28</v>
      </c>
      <c r="AF692" s="76"/>
      <c r="AG692" s="76">
        <v>-11568.48</v>
      </c>
      <c r="AH692" s="76"/>
      <c r="AI692" s="76">
        <v>71605.960000000006</v>
      </c>
      <c r="AJ692" s="76"/>
      <c r="AK692" s="76">
        <v>60037.48</v>
      </c>
      <c r="AL692" s="24">
        <f>+'Gen Rev'!AI692-'Gen Exp'!AE692+'Gen Exp'!AI692-AK692</f>
        <v>0</v>
      </c>
      <c r="AM692" s="41" t="str">
        <f>'Gen Rev'!A692</f>
        <v>West Mansfield</v>
      </c>
      <c r="AN692" s="21" t="str">
        <f t="shared" si="71"/>
        <v>West Mansfield</v>
      </c>
      <c r="AO692" s="21" t="b">
        <f t="shared" si="72"/>
        <v>1</v>
      </c>
    </row>
    <row r="693" spans="1:41" ht="12" customHeight="1" x14ac:dyDescent="0.2">
      <c r="A693" s="1" t="s">
        <v>262</v>
      </c>
      <c r="C693" s="1" t="s">
        <v>813</v>
      </c>
      <c r="E693" s="76">
        <v>9571.99</v>
      </c>
      <c r="F693" s="76"/>
      <c r="G693" s="76">
        <v>0</v>
      </c>
      <c r="H693" s="76"/>
      <c r="I693" s="76">
        <v>134.74</v>
      </c>
      <c r="J693" s="76"/>
      <c r="K693" s="76">
        <v>0</v>
      </c>
      <c r="L693" s="76"/>
      <c r="M693" s="76">
        <v>50</v>
      </c>
      <c r="N693" s="76"/>
      <c r="O693" s="76">
        <v>0</v>
      </c>
      <c r="P693" s="76"/>
      <c r="Q693" s="76">
        <v>20241.98</v>
      </c>
      <c r="R693" s="76"/>
      <c r="S693" s="76">
        <v>0</v>
      </c>
      <c r="T693" s="76"/>
      <c r="U693" s="76">
        <v>0</v>
      </c>
      <c r="V693" s="76"/>
      <c r="W693" s="76">
        <v>0</v>
      </c>
      <c r="X693" s="76"/>
      <c r="Y693" s="76">
        <v>0</v>
      </c>
      <c r="Z693" s="76"/>
      <c r="AA693" s="76">
        <v>0</v>
      </c>
      <c r="AB693" s="76"/>
      <c r="AC693" s="76">
        <v>0</v>
      </c>
      <c r="AD693" s="76"/>
      <c r="AE693" s="76">
        <f t="shared" si="70"/>
        <v>29998.71</v>
      </c>
      <c r="AF693" s="76"/>
      <c r="AG693" s="76">
        <v>4985.62</v>
      </c>
      <c r="AH693" s="76"/>
      <c r="AI693" s="76">
        <v>8875.73</v>
      </c>
      <c r="AJ693" s="76"/>
      <c r="AK693" s="76">
        <v>13861.35</v>
      </c>
      <c r="AL693" s="24">
        <f>+'Gen Rev'!AI693-'Gen Exp'!AE693+'Gen Exp'!AI693-AK693</f>
        <v>0</v>
      </c>
      <c r="AM693" s="41" t="str">
        <f>'Gen Rev'!A693</f>
        <v>West Millgrove</v>
      </c>
      <c r="AN693" s="21" t="str">
        <f t="shared" si="71"/>
        <v>West Millgrove</v>
      </c>
      <c r="AO693" s="21" t="b">
        <f t="shared" si="72"/>
        <v>1</v>
      </c>
    </row>
    <row r="694" spans="1:41" ht="12" customHeight="1" x14ac:dyDescent="0.2">
      <c r="A694" s="1" t="s">
        <v>472</v>
      </c>
      <c r="C694" s="1" t="s">
        <v>470</v>
      </c>
      <c r="E694" s="76">
        <v>883469</v>
      </c>
      <c r="F694" s="76"/>
      <c r="G694" s="76">
        <v>0</v>
      </c>
      <c r="H694" s="76"/>
      <c r="I694" s="76">
        <v>6523</v>
      </c>
      <c r="J694" s="76"/>
      <c r="K694" s="76">
        <v>677</v>
      </c>
      <c r="L694" s="76"/>
      <c r="M694" s="76">
        <v>0</v>
      </c>
      <c r="N694" s="76"/>
      <c r="O694" s="76">
        <v>0</v>
      </c>
      <c r="P694" s="76"/>
      <c r="Q694" s="76">
        <v>544438</v>
      </c>
      <c r="R694" s="76"/>
      <c r="S694" s="76">
        <v>81274</v>
      </c>
      <c r="T694" s="76"/>
      <c r="U694" s="76">
        <v>0</v>
      </c>
      <c r="V694" s="76"/>
      <c r="W694" s="76">
        <v>0</v>
      </c>
      <c r="X694" s="76"/>
      <c r="Y694" s="76">
        <v>70000</v>
      </c>
      <c r="Z694" s="76"/>
      <c r="AA694" s="76">
        <v>0</v>
      </c>
      <c r="AB694" s="76"/>
      <c r="AC694" s="76">
        <v>0</v>
      </c>
      <c r="AD694" s="76"/>
      <c r="AE694" s="76">
        <f t="shared" si="70"/>
        <v>1586381</v>
      </c>
      <c r="AF694" s="76"/>
      <c r="AG694" s="76">
        <v>-270522</v>
      </c>
      <c r="AH694" s="76"/>
      <c r="AI694" s="76">
        <v>2177876</v>
      </c>
      <c r="AJ694" s="76"/>
      <c r="AK694" s="76">
        <v>1907354</v>
      </c>
      <c r="AL694" s="24">
        <f>+'Gen Rev'!AI694-'Gen Exp'!AE694+'Gen Exp'!AI694-AK694</f>
        <v>0</v>
      </c>
      <c r="AM694" s="41" t="str">
        <f>'Gen Rev'!A694</f>
        <v>West Milton</v>
      </c>
      <c r="AN694" s="21" t="str">
        <f t="shared" si="71"/>
        <v>West Milton</v>
      </c>
      <c r="AO694" s="21" t="b">
        <f t="shared" si="72"/>
        <v>1</v>
      </c>
    </row>
    <row r="695" spans="1:41" ht="12" hidden="1" customHeight="1" x14ac:dyDescent="0.2">
      <c r="A695" s="1" t="s">
        <v>351</v>
      </c>
      <c r="C695" s="1" t="s">
        <v>350</v>
      </c>
      <c r="D695" s="21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>
        <f t="shared" si="70"/>
        <v>0</v>
      </c>
      <c r="AF695" s="76"/>
      <c r="AG695" s="76"/>
      <c r="AH695" s="76"/>
      <c r="AI695" s="76"/>
      <c r="AJ695" s="76"/>
      <c r="AK695" s="76"/>
      <c r="AL695" s="24">
        <f>+'Gen Rev'!AI695-'Gen Exp'!AE695+'Gen Exp'!AI695-AK695</f>
        <v>0</v>
      </c>
      <c r="AM695" s="41" t="str">
        <f>'Gen Rev'!A695</f>
        <v>West Rushville</v>
      </c>
      <c r="AN695" s="21" t="str">
        <f t="shared" si="71"/>
        <v>West Rushville</v>
      </c>
      <c r="AO695" s="21" t="b">
        <f t="shared" si="72"/>
        <v>1</v>
      </c>
    </row>
    <row r="696" spans="1:41" ht="12" customHeight="1" x14ac:dyDescent="0.2">
      <c r="A696" s="1" t="s">
        <v>250</v>
      </c>
      <c r="C696" s="1" t="s">
        <v>811</v>
      </c>
      <c r="D696" s="23"/>
      <c r="E696" s="76">
        <v>105617.61</v>
      </c>
      <c r="F696" s="76"/>
      <c r="G696" s="76">
        <v>4538.33</v>
      </c>
      <c r="H696" s="76"/>
      <c r="I696" s="76">
        <v>52527.7</v>
      </c>
      <c r="J696" s="76"/>
      <c r="K696" s="76">
        <v>5272.07</v>
      </c>
      <c r="L696" s="76"/>
      <c r="M696" s="76">
        <v>0</v>
      </c>
      <c r="N696" s="76"/>
      <c r="O696" s="76">
        <v>0</v>
      </c>
      <c r="P696" s="76"/>
      <c r="Q696" s="76">
        <v>118205.47</v>
      </c>
      <c r="R696" s="76"/>
      <c r="S696" s="76">
        <v>0</v>
      </c>
      <c r="T696" s="76"/>
      <c r="U696" s="76">
        <v>4203</v>
      </c>
      <c r="V696" s="76"/>
      <c r="W696" s="76">
        <v>199.84</v>
      </c>
      <c r="X696" s="76"/>
      <c r="Y696" s="76">
        <v>0</v>
      </c>
      <c r="Z696" s="76"/>
      <c r="AA696" s="76">
        <v>0</v>
      </c>
      <c r="AB696" s="76"/>
      <c r="AC696" s="76">
        <v>0</v>
      </c>
      <c r="AD696" s="76"/>
      <c r="AE696" s="76">
        <f t="shared" si="70"/>
        <v>290564.02000000008</v>
      </c>
      <c r="AF696" s="76"/>
      <c r="AG696" s="76">
        <v>21430.61</v>
      </c>
      <c r="AH696" s="76"/>
      <c r="AI696" s="76">
        <v>79227.23</v>
      </c>
      <c r="AJ696" s="76"/>
      <c r="AK696" s="76">
        <v>100657.84</v>
      </c>
      <c r="AL696" s="24">
        <f>+'Gen Rev'!AI696-'Gen Exp'!AE696+'Gen Exp'!AI696-AK696</f>
        <v>0</v>
      </c>
      <c r="AM696" s="41" t="str">
        <f>'Gen Rev'!A696</f>
        <v>West Salem</v>
      </c>
      <c r="AN696" s="21" t="str">
        <f t="shared" si="71"/>
        <v>West Salem</v>
      </c>
      <c r="AO696" s="21" t="b">
        <f t="shared" si="72"/>
        <v>1</v>
      </c>
    </row>
    <row r="697" spans="1:41" ht="12" customHeight="1" x14ac:dyDescent="0.2">
      <c r="A697" s="1" t="s">
        <v>0</v>
      </c>
      <c r="C697" s="1" t="s">
        <v>661</v>
      </c>
      <c r="E697" s="76">
        <v>416371.7</v>
      </c>
      <c r="F697" s="76"/>
      <c r="G697" s="76">
        <v>7387.87</v>
      </c>
      <c r="H697" s="76"/>
      <c r="I697" s="76">
        <v>0</v>
      </c>
      <c r="J697" s="76"/>
      <c r="K697" s="76">
        <v>475</v>
      </c>
      <c r="L697" s="76"/>
      <c r="M697" s="76">
        <v>0</v>
      </c>
      <c r="N697" s="76"/>
      <c r="O697" s="76">
        <v>0</v>
      </c>
      <c r="P697" s="76"/>
      <c r="Q697" s="76">
        <v>348128.34</v>
      </c>
      <c r="R697" s="76"/>
      <c r="S697" s="76">
        <v>31035</v>
      </c>
      <c r="T697" s="76"/>
      <c r="U697" s="76">
        <v>0</v>
      </c>
      <c r="V697" s="76"/>
      <c r="W697" s="76">
        <v>0</v>
      </c>
      <c r="X697" s="76"/>
      <c r="Y697" s="76">
        <v>0</v>
      </c>
      <c r="Z697" s="76"/>
      <c r="AA697" s="76">
        <v>0</v>
      </c>
      <c r="AB697" s="76"/>
      <c r="AC697" s="76">
        <v>7663.72</v>
      </c>
      <c r="AD697" s="76"/>
      <c r="AE697" s="76">
        <f t="shared" si="70"/>
        <v>811061.63</v>
      </c>
      <c r="AF697" s="76"/>
      <c r="AG697" s="76">
        <v>399239.99</v>
      </c>
      <c r="AH697" s="76"/>
      <c r="AI697" s="76">
        <v>916125.35</v>
      </c>
      <c r="AJ697" s="76"/>
      <c r="AK697" s="76">
        <v>1315365.3400000001</v>
      </c>
      <c r="AL697" s="24">
        <f>+'Gen Rev'!AI697-'Gen Exp'!AE697+'Gen Exp'!AI697-AK697</f>
        <v>0</v>
      </c>
      <c r="AM697" s="41" t="str">
        <f>'Gen Rev'!A697</f>
        <v>West Union</v>
      </c>
      <c r="AN697" s="21" t="str">
        <f t="shared" si="71"/>
        <v>West Union</v>
      </c>
      <c r="AO697" s="21" t="b">
        <f t="shared" si="72"/>
        <v>1</v>
      </c>
    </row>
    <row r="698" spans="1:41" ht="12" customHeight="1" x14ac:dyDescent="0.2">
      <c r="A698" s="1" t="s">
        <v>599</v>
      </c>
      <c r="C698" s="1" t="s">
        <v>596</v>
      </c>
      <c r="D698" s="23"/>
      <c r="E698" s="76">
        <v>240096.22</v>
      </c>
      <c r="F698" s="76"/>
      <c r="G698" s="76">
        <v>3661</v>
      </c>
      <c r="H698" s="76"/>
      <c r="I698" s="76">
        <v>0</v>
      </c>
      <c r="J698" s="76"/>
      <c r="K698" s="76">
        <v>1955.73</v>
      </c>
      <c r="L698" s="76"/>
      <c r="M698" s="76">
        <v>16967.38</v>
      </c>
      <c r="N698" s="76"/>
      <c r="O698" s="76">
        <v>0</v>
      </c>
      <c r="P698" s="76"/>
      <c r="Q698" s="76">
        <v>194339.18</v>
      </c>
      <c r="R698" s="76"/>
      <c r="S698" s="76">
        <v>0</v>
      </c>
      <c r="T698" s="76"/>
      <c r="U698" s="76">
        <v>0</v>
      </c>
      <c r="V698" s="76"/>
      <c r="W698" s="76">
        <v>0</v>
      </c>
      <c r="X698" s="76"/>
      <c r="Y698" s="76">
        <v>0</v>
      </c>
      <c r="Z698" s="76"/>
      <c r="AA698" s="76">
        <v>0</v>
      </c>
      <c r="AB698" s="76"/>
      <c r="AC698" s="76">
        <v>0</v>
      </c>
      <c r="AD698" s="76"/>
      <c r="AE698" s="76">
        <f t="shared" si="70"/>
        <v>457019.51</v>
      </c>
      <c r="AF698" s="76"/>
      <c r="AG698" s="76">
        <v>-2672.03</v>
      </c>
      <c r="AH698" s="76"/>
      <c r="AI698" s="76">
        <v>301182.8</v>
      </c>
      <c r="AJ698" s="76"/>
      <c r="AK698" s="76">
        <v>298510.77</v>
      </c>
      <c r="AL698" s="24">
        <f>+'Gen Rev'!AI698-'Gen Exp'!AE698+'Gen Exp'!AI698-AK698</f>
        <v>0</v>
      </c>
      <c r="AM698" s="41" t="str">
        <f>'Gen Rev'!A698</f>
        <v>West Unity</v>
      </c>
      <c r="AN698" s="21" t="str">
        <f t="shared" si="71"/>
        <v>West Unity</v>
      </c>
      <c r="AO698" s="21" t="b">
        <f t="shared" si="72"/>
        <v>1</v>
      </c>
    </row>
    <row r="699" spans="1:41" ht="12" customHeight="1" x14ac:dyDescent="0.2">
      <c r="A699" s="1" t="s">
        <v>155</v>
      </c>
      <c r="C699" s="1" t="s">
        <v>781</v>
      </c>
      <c r="D699" s="23"/>
      <c r="E699" s="76">
        <v>223558.89</v>
      </c>
      <c r="F699" s="76"/>
      <c r="G699" s="76">
        <v>2194.16</v>
      </c>
      <c r="H699" s="76"/>
      <c r="I699" s="76">
        <v>20254.32</v>
      </c>
      <c r="J699" s="76"/>
      <c r="K699" s="76">
        <v>7888.58</v>
      </c>
      <c r="L699" s="76"/>
      <c r="M699" s="76">
        <v>0</v>
      </c>
      <c r="N699" s="76"/>
      <c r="O699" s="76">
        <v>167577.46</v>
      </c>
      <c r="P699" s="76"/>
      <c r="Q699" s="76">
        <v>346429.39</v>
      </c>
      <c r="R699" s="76"/>
      <c r="S699" s="76">
        <v>360066.23</v>
      </c>
      <c r="T699" s="76"/>
      <c r="U699" s="76">
        <v>0</v>
      </c>
      <c r="V699" s="76"/>
      <c r="W699" s="76">
        <v>0</v>
      </c>
      <c r="X699" s="76"/>
      <c r="Y699" s="76">
        <v>116000</v>
      </c>
      <c r="Z699" s="76"/>
      <c r="AA699" s="76">
        <v>0</v>
      </c>
      <c r="AB699" s="76"/>
      <c r="AC699" s="76">
        <v>0</v>
      </c>
      <c r="AD699" s="76"/>
      <c r="AE699" s="76">
        <f t="shared" si="70"/>
        <v>1243969.03</v>
      </c>
      <c r="AF699" s="76"/>
      <c r="AG699" s="76">
        <v>-4274.33</v>
      </c>
      <c r="AH699" s="76"/>
      <c r="AI699" s="76">
        <v>866812.06</v>
      </c>
      <c r="AJ699" s="76"/>
      <c r="AK699" s="76">
        <v>862537.73</v>
      </c>
      <c r="AL699" s="24">
        <f>+'Gen Rev'!AI699-'Gen Exp'!AE699+'Gen Exp'!AI699-AK699</f>
        <v>0</v>
      </c>
      <c r="AM699" s="41" t="str">
        <f>'Gen Rev'!A699</f>
        <v>Westfield Cente</v>
      </c>
      <c r="AN699" s="21" t="str">
        <f t="shared" si="71"/>
        <v>Westfield Cente</v>
      </c>
      <c r="AO699" s="21" t="b">
        <f t="shared" si="72"/>
        <v>1</v>
      </c>
    </row>
    <row r="700" spans="1:41" ht="12" customHeight="1" x14ac:dyDescent="0.2">
      <c r="A700" s="15" t="s">
        <v>263</v>
      </c>
      <c r="B700" s="15"/>
      <c r="C700" s="15" t="s">
        <v>601</v>
      </c>
      <c r="D700" s="23"/>
      <c r="E700" s="76">
        <v>132915.54</v>
      </c>
      <c r="F700" s="76"/>
      <c r="G700" s="76">
        <v>692.26</v>
      </c>
      <c r="H700" s="76"/>
      <c r="I700" s="76">
        <v>34279.339999999997</v>
      </c>
      <c r="J700" s="76"/>
      <c r="K700" s="76">
        <v>40</v>
      </c>
      <c r="L700" s="76"/>
      <c r="M700" s="76">
        <v>5560.94</v>
      </c>
      <c r="N700" s="76"/>
      <c r="O700" s="76">
        <v>0</v>
      </c>
      <c r="P700" s="76"/>
      <c r="Q700" s="76">
        <v>152244.43</v>
      </c>
      <c r="R700" s="76"/>
      <c r="S700" s="76">
        <v>78054.97</v>
      </c>
      <c r="T700" s="76"/>
      <c r="U700" s="76">
        <v>0</v>
      </c>
      <c r="V700" s="76"/>
      <c r="W700" s="76">
        <v>0</v>
      </c>
      <c r="X700" s="76"/>
      <c r="Y700" s="76">
        <v>0</v>
      </c>
      <c r="Z700" s="76"/>
      <c r="AA700" s="76">
        <v>0</v>
      </c>
      <c r="AB700" s="76"/>
      <c r="AC700" s="76">
        <v>0</v>
      </c>
      <c r="AD700" s="76"/>
      <c r="AE700" s="76">
        <f t="shared" si="70"/>
        <v>403787.48</v>
      </c>
      <c r="AF700" s="76"/>
      <c r="AG700" s="76">
        <v>33983.949999999997</v>
      </c>
      <c r="AH700" s="76"/>
      <c r="AI700" s="76">
        <v>516173.97</v>
      </c>
      <c r="AJ700" s="76"/>
      <c r="AK700" s="76">
        <v>550157.92000000004</v>
      </c>
      <c r="AL700" s="24">
        <f>+'Gen Rev'!AI700-'Gen Exp'!AE700+'Gen Exp'!AI700-AK700</f>
        <v>0</v>
      </c>
      <c r="AM700" s="41" t="str">
        <f>'Gen Rev'!A700</f>
        <v>Weston</v>
      </c>
      <c r="AN700" s="21" t="str">
        <f t="shared" si="71"/>
        <v>Weston</v>
      </c>
      <c r="AO700" s="21" t="b">
        <f t="shared" si="72"/>
        <v>1</v>
      </c>
    </row>
    <row r="701" spans="1:41" ht="12" customHeight="1" x14ac:dyDescent="0.2">
      <c r="A701" s="1" t="s">
        <v>901</v>
      </c>
      <c r="C701" s="1" t="s">
        <v>609</v>
      </c>
      <c r="E701" s="76">
        <v>236</v>
      </c>
      <c r="F701" s="76"/>
      <c r="G701" s="76">
        <v>1466</v>
      </c>
      <c r="H701" s="76"/>
      <c r="I701" s="76">
        <v>0</v>
      </c>
      <c r="J701" s="76"/>
      <c r="K701" s="76">
        <v>0</v>
      </c>
      <c r="L701" s="76"/>
      <c r="M701" s="76">
        <v>0</v>
      </c>
      <c r="N701" s="76"/>
      <c r="O701" s="76">
        <v>0</v>
      </c>
      <c r="P701" s="76"/>
      <c r="Q701" s="76">
        <v>9536</v>
      </c>
      <c r="R701" s="76"/>
      <c r="S701" s="76">
        <v>0</v>
      </c>
      <c r="T701" s="76"/>
      <c r="U701" s="76">
        <v>0</v>
      </c>
      <c r="V701" s="76"/>
      <c r="W701" s="76">
        <v>0</v>
      </c>
      <c r="X701" s="76"/>
      <c r="Y701" s="76">
        <v>0</v>
      </c>
      <c r="Z701" s="76"/>
      <c r="AA701" s="76">
        <v>0</v>
      </c>
      <c r="AB701" s="76"/>
      <c r="AC701" s="76">
        <v>0</v>
      </c>
      <c r="AD701" s="76"/>
      <c r="AE701" s="76">
        <f t="shared" si="70"/>
        <v>11238</v>
      </c>
      <c r="AF701" s="76"/>
      <c r="AG701" s="76">
        <v>56001</v>
      </c>
      <c r="AH701" s="76"/>
      <c r="AI701" s="76">
        <v>-12790</v>
      </c>
      <c r="AJ701" s="76"/>
      <c r="AK701" s="76">
        <v>43211</v>
      </c>
      <c r="AL701" s="24">
        <f>+'Gen Rev'!AI701-'Gen Exp'!AE701+'Gen Exp'!AI701-AK701</f>
        <v>0</v>
      </c>
      <c r="AM701" s="41" t="str">
        <f>'Gen Rev'!A701</f>
        <v>Wharton</v>
      </c>
      <c r="AN701" s="21" t="str">
        <f t="shared" si="71"/>
        <v>Wharton</v>
      </c>
      <c r="AO701" s="21" t="b">
        <f t="shared" si="72"/>
        <v>1</v>
      </c>
    </row>
    <row r="702" spans="1:41" ht="12" customHeight="1" x14ac:dyDescent="0.2">
      <c r="A702" s="1" t="s">
        <v>458</v>
      </c>
      <c r="C702" s="1" t="s">
        <v>455</v>
      </c>
      <c r="E702" s="76">
        <v>1303241</v>
      </c>
      <c r="F702" s="76"/>
      <c r="G702" s="76">
        <v>18500</v>
      </c>
      <c r="H702" s="76"/>
      <c r="I702" s="76">
        <v>43386</v>
      </c>
      <c r="J702" s="76"/>
      <c r="K702" s="76">
        <v>85421</v>
      </c>
      <c r="L702" s="76"/>
      <c r="M702" s="76">
        <v>243822</v>
      </c>
      <c r="N702" s="76"/>
      <c r="O702" s="76">
        <v>0</v>
      </c>
      <c r="P702" s="76"/>
      <c r="Q702" s="76">
        <v>403290</v>
      </c>
      <c r="R702" s="76"/>
      <c r="S702" s="76">
        <v>231110</v>
      </c>
      <c r="T702" s="76"/>
      <c r="U702" s="76">
        <v>0</v>
      </c>
      <c r="V702" s="76"/>
      <c r="W702" s="76">
        <v>0</v>
      </c>
      <c r="X702" s="76"/>
      <c r="Y702" s="76">
        <v>0</v>
      </c>
      <c r="Z702" s="76"/>
      <c r="AA702" s="76">
        <v>0</v>
      </c>
      <c r="AB702" s="76"/>
      <c r="AC702" s="76">
        <v>0</v>
      </c>
      <c r="AD702" s="76"/>
      <c r="AE702" s="76">
        <f t="shared" si="70"/>
        <v>2328770</v>
      </c>
      <c r="AF702" s="76"/>
      <c r="AG702" s="76">
        <v>22103</v>
      </c>
      <c r="AH702" s="76"/>
      <c r="AI702" s="76">
        <v>0</v>
      </c>
      <c r="AJ702" s="76"/>
      <c r="AK702" s="76">
        <v>22103</v>
      </c>
      <c r="AL702" s="24">
        <f>+'Gen Rev'!AI702-'Gen Exp'!AE702+'Gen Exp'!AI702-AK702</f>
        <v>0</v>
      </c>
      <c r="AM702" s="41" t="str">
        <f>'Gen Rev'!A702</f>
        <v>Whitehouse</v>
      </c>
      <c r="AN702" s="21" t="str">
        <f t="shared" si="71"/>
        <v>Whitehouse</v>
      </c>
      <c r="AO702" s="21" t="b">
        <f t="shared" si="72"/>
        <v>1</v>
      </c>
    </row>
    <row r="703" spans="1:41" ht="12" customHeight="1" x14ac:dyDescent="0.2">
      <c r="A703" s="1" t="s">
        <v>577</v>
      </c>
      <c r="C703" s="1" t="s">
        <v>82</v>
      </c>
      <c r="E703" s="76">
        <v>2151</v>
      </c>
      <c r="F703" s="76"/>
      <c r="G703" s="76">
        <v>840</v>
      </c>
      <c r="H703" s="76"/>
      <c r="I703" s="76">
        <v>0</v>
      </c>
      <c r="J703" s="76"/>
      <c r="K703" s="76">
        <v>290</v>
      </c>
      <c r="L703" s="76"/>
      <c r="M703" s="76">
        <v>0</v>
      </c>
      <c r="N703" s="76"/>
      <c r="O703" s="76">
        <v>0</v>
      </c>
      <c r="P703" s="76"/>
      <c r="Q703" s="76">
        <v>10602</v>
      </c>
      <c r="R703" s="76"/>
      <c r="S703" s="76">
        <v>0</v>
      </c>
      <c r="T703" s="76"/>
      <c r="U703" s="76">
        <v>0</v>
      </c>
      <c r="V703" s="76"/>
      <c r="W703" s="76">
        <v>0</v>
      </c>
      <c r="X703" s="76"/>
      <c r="Y703" s="76">
        <v>0</v>
      </c>
      <c r="Z703" s="76"/>
      <c r="AA703" s="76">
        <v>0</v>
      </c>
      <c r="AB703" s="76"/>
      <c r="AC703" s="76">
        <v>0</v>
      </c>
      <c r="AD703" s="76"/>
      <c r="AE703" s="76">
        <f t="shared" si="70"/>
        <v>13883</v>
      </c>
      <c r="AF703" s="76"/>
      <c r="AG703" s="76">
        <v>900</v>
      </c>
      <c r="AH703" s="76"/>
      <c r="AI703" s="76">
        <v>6129</v>
      </c>
      <c r="AJ703" s="76"/>
      <c r="AK703" s="76">
        <v>7029</v>
      </c>
      <c r="AL703" s="24">
        <f>+'Gen Rev'!AI703-'Gen Exp'!AE703+'Gen Exp'!AI703-AK703</f>
        <v>0</v>
      </c>
      <c r="AM703" s="41" t="str">
        <f>'Gen Rev'!A703</f>
        <v>Wilkesville</v>
      </c>
      <c r="AN703" s="21" t="str">
        <f t="shared" si="71"/>
        <v>Wilkesville</v>
      </c>
      <c r="AO703" s="21" t="b">
        <f t="shared" si="72"/>
        <v>1</v>
      </c>
    </row>
    <row r="704" spans="1:41" ht="12" customHeight="1" x14ac:dyDescent="0.2">
      <c r="A704" s="1" t="s">
        <v>40</v>
      </c>
      <c r="C704" s="1" t="s">
        <v>747</v>
      </c>
      <c r="D704" s="23"/>
      <c r="E704" s="76">
        <v>335141.15999999997</v>
      </c>
      <c r="F704" s="76"/>
      <c r="G704" s="76">
        <v>6446.89</v>
      </c>
      <c r="H704" s="76"/>
      <c r="I704" s="76">
        <v>0</v>
      </c>
      <c r="J704" s="76"/>
      <c r="K704" s="76">
        <v>44084.09</v>
      </c>
      <c r="L704" s="76"/>
      <c r="M704" s="76">
        <v>0</v>
      </c>
      <c r="N704" s="76"/>
      <c r="O704" s="76">
        <v>0</v>
      </c>
      <c r="P704" s="76"/>
      <c r="Q704" s="76">
        <v>149058.92000000001</v>
      </c>
      <c r="R704" s="76"/>
      <c r="S704" s="76">
        <v>0</v>
      </c>
      <c r="T704" s="76"/>
      <c r="U704" s="76">
        <v>0</v>
      </c>
      <c r="V704" s="76"/>
      <c r="W704" s="76">
        <v>0</v>
      </c>
      <c r="X704" s="76"/>
      <c r="Y704" s="76">
        <v>25000</v>
      </c>
      <c r="Z704" s="76"/>
      <c r="AA704" s="76">
        <v>0</v>
      </c>
      <c r="AB704" s="76"/>
      <c r="AC704" s="76">
        <v>0</v>
      </c>
      <c r="AD704" s="76"/>
      <c r="AE704" s="76">
        <f t="shared" si="70"/>
        <v>559731.06000000006</v>
      </c>
      <c r="AF704" s="76"/>
      <c r="AG704" s="76">
        <v>149110.82999999999</v>
      </c>
      <c r="AH704" s="76"/>
      <c r="AI704" s="76">
        <v>233963.53</v>
      </c>
      <c r="AJ704" s="76"/>
      <c r="AK704" s="76">
        <v>383074.36</v>
      </c>
      <c r="AL704" s="24">
        <f>+'Gen Rev'!AI704-'Gen Exp'!AE704+'Gen Exp'!AI704-AK704</f>
        <v>0</v>
      </c>
      <c r="AM704" s="41" t="str">
        <f>'Gen Rev'!A704</f>
        <v>Williamsburg</v>
      </c>
      <c r="AN704" s="21" t="str">
        <f t="shared" si="71"/>
        <v>Williamsburg</v>
      </c>
      <c r="AO704" s="21" t="b">
        <f t="shared" si="72"/>
        <v>1</v>
      </c>
    </row>
    <row r="705" spans="1:41" ht="12" customHeight="1" x14ac:dyDescent="0.2">
      <c r="A705" s="1" t="s">
        <v>192</v>
      </c>
      <c r="C705" s="1" t="s">
        <v>793</v>
      </c>
      <c r="E705" s="76">
        <v>11264</v>
      </c>
      <c r="F705" s="76"/>
      <c r="G705" s="76">
        <v>2177.2199999999998</v>
      </c>
      <c r="H705" s="76"/>
      <c r="I705" s="76">
        <v>3324.19</v>
      </c>
      <c r="J705" s="76"/>
      <c r="K705" s="76">
        <v>2043.18</v>
      </c>
      <c r="L705" s="76"/>
      <c r="M705" s="76">
        <v>0</v>
      </c>
      <c r="N705" s="76"/>
      <c r="O705" s="76">
        <v>0</v>
      </c>
      <c r="P705" s="76"/>
      <c r="Q705" s="76">
        <v>39532.71</v>
      </c>
      <c r="R705" s="76"/>
      <c r="S705" s="76">
        <v>0</v>
      </c>
      <c r="T705" s="76"/>
      <c r="U705" s="76">
        <v>0</v>
      </c>
      <c r="V705" s="76"/>
      <c r="W705" s="76">
        <v>0</v>
      </c>
      <c r="X705" s="76"/>
      <c r="Y705" s="76">
        <v>0</v>
      </c>
      <c r="Z705" s="76"/>
      <c r="AA705" s="76">
        <v>0</v>
      </c>
      <c r="AB705" s="76"/>
      <c r="AC705" s="76">
        <v>0</v>
      </c>
      <c r="AD705" s="76"/>
      <c r="AE705" s="76">
        <f t="shared" si="70"/>
        <v>58341.3</v>
      </c>
      <c r="AF705" s="76"/>
      <c r="AG705" s="76">
        <v>4777.1899999999996</v>
      </c>
      <c r="AH705" s="76"/>
      <c r="AI705" s="76">
        <v>109910.86</v>
      </c>
      <c r="AJ705" s="76"/>
      <c r="AK705" s="76">
        <v>114688.05</v>
      </c>
      <c r="AL705" s="24">
        <f>+'Gen Rev'!AI705-'Gen Exp'!AE705+'Gen Exp'!AI705-AK705</f>
        <v>0</v>
      </c>
      <c r="AM705" s="41" t="str">
        <f>'Gen Rev'!A705</f>
        <v>Williamsport</v>
      </c>
      <c r="AN705" s="21" t="str">
        <f t="shared" si="71"/>
        <v>Williamsport</v>
      </c>
      <c r="AO705" s="21" t="b">
        <f t="shared" si="72"/>
        <v>1</v>
      </c>
    </row>
    <row r="706" spans="1:41" ht="12" customHeight="1" x14ac:dyDescent="0.2">
      <c r="A706" s="1" t="s">
        <v>576</v>
      </c>
      <c r="C706" s="1" t="s">
        <v>572</v>
      </c>
      <c r="D706" s="23"/>
      <c r="E706" s="76">
        <v>33308.57</v>
      </c>
      <c r="F706" s="76"/>
      <c r="G706" s="76">
        <v>2699.66</v>
      </c>
      <c r="H706" s="76"/>
      <c r="I706" s="76">
        <v>8280.16</v>
      </c>
      <c r="J706" s="76"/>
      <c r="K706" s="76">
        <v>0</v>
      </c>
      <c r="L706" s="76"/>
      <c r="M706" s="76">
        <v>0</v>
      </c>
      <c r="N706" s="76"/>
      <c r="O706" s="76">
        <v>0</v>
      </c>
      <c r="P706" s="76"/>
      <c r="Q706" s="76">
        <v>73257.58</v>
      </c>
      <c r="R706" s="76"/>
      <c r="S706" s="76">
        <v>0</v>
      </c>
      <c r="T706" s="76"/>
      <c r="U706" s="76">
        <v>0</v>
      </c>
      <c r="V706" s="76"/>
      <c r="W706" s="76">
        <v>0</v>
      </c>
      <c r="X706" s="76"/>
      <c r="Y706" s="76">
        <v>0</v>
      </c>
      <c r="Z706" s="76"/>
      <c r="AA706" s="76">
        <v>0</v>
      </c>
      <c r="AB706" s="76"/>
      <c r="AC706" s="76">
        <v>0</v>
      </c>
      <c r="AD706" s="76"/>
      <c r="AE706" s="76">
        <f t="shared" si="70"/>
        <v>117545.97</v>
      </c>
      <c r="AF706" s="76"/>
      <c r="AG706" s="76">
        <v>-9063.23</v>
      </c>
      <c r="AH706" s="76"/>
      <c r="AI706" s="76">
        <v>108764.94</v>
      </c>
      <c r="AJ706" s="76"/>
      <c r="AK706" s="76">
        <v>99701.71</v>
      </c>
      <c r="AL706" s="24">
        <f>+'Gen Rev'!AI706-'Gen Exp'!AE706+'Gen Exp'!AI706-AK706</f>
        <v>0</v>
      </c>
      <c r="AM706" s="41" t="str">
        <f>'Gen Rev'!A706</f>
        <v>Willshire</v>
      </c>
      <c r="AN706" s="21" t="str">
        <f t="shared" si="71"/>
        <v>Willshire</v>
      </c>
      <c r="AO706" s="21" t="b">
        <f t="shared" si="72"/>
        <v>1</v>
      </c>
    </row>
    <row r="707" spans="1:41" ht="12" customHeight="1" x14ac:dyDescent="0.2">
      <c r="A707" s="1" t="s">
        <v>845</v>
      </c>
      <c r="C707" s="1" t="s">
        <v>804</v>
      </c>
      <c r="E707" s="76">
        <v>66432.23</v>
      </c>
      <c r="F707" s="76"/>
      <c r="G707" s="76">
        <v>1029</v>
      </c>
      <c r="H707" s="76"/>
      <c r="I707" s="76">
        <v>826.67</v>
      </c>
      <c r="J707" s="76"/>
      <c r="K707" s="76">
        <v>100</v>
      </c>
      <c r="L707" s="76"/>
      <c r="M707" s="76">
        <v>418</v>
      </c>
      <c r="N707" s="76"/>
      <c r="O707" s="76">
        <v>0</v>
      </c>
      <c r="P707" s="76"/>
      <c r="Q707" s="76">
        <v>33709.68</v>
      </c>
      <c r="R707" s="76"/>
      <c r="S707" s="76">
        <v>0</v>
      </c>
      <c r="T707" s="76"/>
      <c r="U707" s="76">
        <v>2831.05</v>
      </c>
      <c r="V707" s="76"/>
      <c r="W707" s="76">
        <v>428.27</v>
      </c>
      <c r="X707" s="76"/>
      <c r="Y707" s="76">
        <v>0</v>
      </c>
      <c r="Z707" s="76"/>
      <c r="AA707" s="76">
        <v>0</v>
      </c>
      <c r="AB707" s="76"/>
      <c r="AC707" s="76">
        <v>0</v>
      </c>
      <c r="AD707" s="76"/>
      <c r="AE707" s="76">
        <f t="shared" si="70"/>
        <v>105774.9</v>
      </c>
      <c r="AF707" s="76"/>
      <c r="AG707" s="76">
        <v>11023.95</v>
      </c>
      <c r="AH707" s="76"/>
      <c r="AI707" s="76">
        <v>66184.259999999995</v>
      </c>
      <c r="AJ707" s="76"/>
      <c r="AK707" s="76">
        <v>77208.210000000006</v>
      </c>
      <c r="AL707" s="24">
        <f>+'Gen Rev'!AI707-'Gen Exp'!AE707+'Gen Exp'!AI707-AK707</f>
        <v>0</v>
      </c>
      <c r="AM707" s="41" t="str">
        <f>'Gen Rev'!A707</f>
        <v>Wilmot</v>
      </c>
      <c r="AN707" s="21" t="str">
        <f t="shared" si="71"/>
        <v>Wilmot</v>
      </c>
      <c r="AO707" s="21" t="b">
        <f t="shared" ref="AO707:AO738" si="73">AM707=AN707</f>
        <v>1</v>
      </c>
    </row>
    <row r="708" spans="1:41" ht="12" customHeight="1" x14ac:dyDescent="0.2">
      <c r="A708" s="1" t="s">
        <v>478</v>
      </c>
      <c r="C708" s="1" t="s">
        <v>474</v>
      </c>
      <c r="E708" s="76">
        <v>2999</v>
      </c>
      <c r="F708" s="76"/>
      <c r="G708" s="76">
        <v>0</v>
      </c>
      <c r="H708" s="76"/>
      <c r="I708" s="76">
        <v>0</v>
      </c>
      <c r="J708" s="76"/>
      <c r="K708" s="76">
        <v>0</v>
      </c>
      <c r="L708" s="76"/>
      <c r="M708" s="76">
        <v>0</v>
      </c>
      <c r="N708" s="76"/>
      <c r="O708" s="76">
        <v>0</v>
      </c>
      <c r="P708" s="76"/>
      <c r="Q708" s="76">
        <v>9846</v>
      </c>
      <c r="R708" s="76"/>
      <c r="S708" s="76">
        <v>0</v>
      </c>
      <c r="T708" s="76"/>
      <c r="U708" s="76">
        <v>0</v>
      </c>
      <c r="V708" s="76"/>
      <c r="W708" s="76">
        <v>0</v>
      </c>
      <c r="X708" s="76"/>
      <c r="Y708" s="76">
        <v>0</v>
      </c>
      <c r="Z708" s="76"/>
      <c r="AA708" s="76">
        <v>0</v>
      </c>
      <c r="AB708" s="76"/>
      <c r="AC708" s="76">
        <v>0</v>
      </c>
      <c r="AD708" s="76"/>
      <c r="AE708" s="76">
        <f t="shared" si="70"/>
        <v>12845</v>
      </c>
      <c r="AF708" s="76"/>
      <c r="AG708" s="76">
        <v>3619</v>
      </c>
      <c r="AH708" s="76"/>
      <c r="AI708" s="76">
        <f>AK708-AG708</f>
        <v>683</v>
      </c>
      <c r="AJ708" s="76"/>
      <c r="AK708" s="76">
        <v>4302</v>
      </c>
      <c r="AL708" s="24">
        <f>+'Gen Rev'!AI708-'Gen Exp'!AE708+'Gen Exp'!AI708-AK708</f>
        <v>0</v>
      </c>
      <c r="AM708" s="41" t="str">
        <f>'Gen Rev'!A708</f>
        <v>Wilson</v>
      </c>
      <c r="AN708" s="21" t="str">
        <f t="shared" si="71"/>
        <v>Wilson</v>
      </c>
      <c r="AO708" s="21" t="b">
        <f t="shared" si="73"/>
        <v>1</v>
      </c>
    </row>
    <row r="709" spans="1:41" ht="12" customHeight="1" x14ac:dyDescent="0.2">
      <c r="A709" s="1" t="s">
        <v>1</v>
      </c>
      <c r="C709" s="1" t="s">
        <v>661</v>
      </c>
      <c r="E709" s="76">
        <v>115254.18</v>
      </c>
      <c r="F709" s="76"/>
      <c r="G709" s="76">
        <v>0</v>
      </c>
      <c r="H709" s="76"/>
      <c r="I709" s="76">
        <v>0</v>
      </c>
      <c r="J709" s="76"/>
      <c r="K709" s="76">
        <v>0</v>
      </c>
      <c r="L709" s="76"/>
      <c r="M709" s="76">
        <v>0</v>
      </c>
      <c r="N709" s="76"/>
      <c r="O709" s="76">
        <v>0</v>
      </c>
      <c r="P709" s="76"/>
      <c r="Q709" s="76">
        <v>51673.599999999999</v>
      </c>
      <c r="R709" s="76"/>
      <c r="S709" s="76">
        <v>33831.74</v>
      </c>
      <c r="T709" s="76"/>
      <c r="U709" s="76">
        <v>6840.28</v>
      </c>
      <c r="V709" s="76"/>
      <c r="W709" s="76">
        <v>462.82</v>
      </c>
      <c r="X709" s="76"/>
      <c r="Y709" s="76">
        <v>0</v>
      </c>
      <c r="Z709" s="76"/>
      <c r="AA709" s="76">
        <v>14604</v>
      </c>
      <c r="AB709" s="76"/>
      <c r="AC709" s="76">
        <v>0</v>
      </c>
      <c r="AD709" s="76"/>
      <c r="AE709" s="76">
        <f t="shared" si="70"/>
        <v>222666.62</v>
      </c>
      <c r="AF709" s="76"/>
      <c r="AG709" s="76">
        <v>53426.36</v>
      </c>
      <c r="AH709" s="76"/>
      <c r="AI709" s="76">
        <v>44014.57</v>
      </c>
      <c r="AJ709" s="76"/>
      <c r="AK709" s="76">
        <v>97440.93</v>
      </c>
      <c r="AL709" s="24">
        <f>+'Gen Rev'!AI709-'Gen Exp'!AE709+'Gen Exp'!AI709-AK709</f>
        <v>0</v>
      </c>
      <c r="AM709" s="41" t="str">
        <f>'Gen Rev'!A709</f>
        <v>Winchester</v>
      </c>
      <c r="AN709" s="21" t="str">
        <f t="shared" si="71"/>
        <v>Winchester</v>
      </c>
      <c r="AO709" s="21" t="b">
        <f t="shared" si="73"/>
        <v>1</v>
      </c>
    </row>
    <row r="710" spans="1:41" s="21" customFormat="1" ht="12" customHeight="1" x14ac:dyDescent="0.2">
      <c r="A710" s="1"/>
      <c r="B710" s="1"/>
      <c r="C710" s="1"/>
      <c r="D710" s="23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24"/>
      <c r="AM710" s="41"/>
    </row>
    <row r="711" spans="1:41" s="21" customFormat="1" ht="12" customHeight="1" x14ac:dyDescent="0.2">
      <c r="A711" s="1"/>
      <c r="B711" s="1"/>
      <c r="C711" s="1"/>
      <c r="D711" s="23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 t="s">
        <v>850</v>
      </c>
      <c r="AF711" s="76"/>
      <c r="AG711" s="76"/>
      <c r="AH711" s="76"/>
      <c r="AI711" s="76"/>
      <c r="AJ711" s="76"/>
      <c r="AK711" s="76"/>
      <c r="AL711" s="24"/>
      <c r="AM711" s="41"/>
    </row>
    <row r="712" spans="1:41" s="21" customFormat="1" ht="12" customHeight="1" x14ac:dyDescent="0.2">
      <c r="A712" s="1"/>
      <c r="B712" s="1"/>
      <c r="C712" s="1"/>
      <c r="D712" s="23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24"/>
      <c r="AM712" s="41"/>
    </row>
    <row r="713" spans="1:41" ht="12" customHeight="1" x14ac:dyDescent="0.2">
      <c r="A713" s="1" t="s">
        <v>197</v>
      </c>
      <c r="C713" s="1" t="s">
        <v>795</v>
      </c>
      <c r="E713" s="88">
        <v>599864.64</v>
      </c>
      <c r="F713" s="88"/>
      <c r="G713" s="88">
        <v>0</v>
      </c>
      <c r="H713" s="88"/>
      <c r="I713" s="88">
        <v>3122.33</v>
      </c>
      <c r="J713" s="88"/>
      <c r="K713" s="88">
        <v>0</v>
      </c>
      <c r="L713" s="88"/>
      <c r="M713" s="88">
        <v>4689.88</v>
      </c>
      <c r="N713" s="88"/>
      <c r="O713" s="88">
        <v>12440.67</v>
      </c>
      <c r="P713" s="88"/>
      <c r="Q713" s="88">
        <v>206723.8</v>
      </c>
      <c r="R713" s="88"/>
      <c r="S713" s="88">
        <v>0</v>
      </c>
      <c r="T713" s="88"/>
      <c r="U713" s="88">
        <v>0</v>
      </c>
      <c r="V713" s="88"/>
      <c r="W713" s="88">
        <v>0</v>
      </c>
      <c r="X713" s="88"/>
      <c r="Y713" s="88">
        <v>0</v>
      </c>
      <c r="Z713" s="88"/>
      <c r="AA713" s="88">
        <v>0</v>
      </c>
      <c r="AB713" s="88"/>
      <c r="AC713" s="88">
        <v>0</v>
      </c>
      <c r="AD713" s="88"/>
      <c r="AE713" s="88">
        <f t="shared" ref="AE713:AE727" si="74">SUM(E713:AC713)</f>
        <v>826841.32000000007</v>
      </c>
      <c r="AF713" s="76"/>
      <c r="AG713" s="76">
        <v>-30263.93</v>
      </c>
      <c r="AH713" s="76"/>
      <c r="AI713" s="76">
        <v>150042.38</v>
      </c>
      <c r="AJ713" s="76"/>
      <c r="AK713" s="76">
        <v>119778.45</v>
      </c>
      <c r="AL713" s="24">
        <f>+'Gen Rev'!AI710-'Gen Exp'!AE713+'Gen Exp'!AI713-AK713</f>
        <v>0</v>
      </c>
      <c r="AM713" s="41" t="str">
        <f>'Gen Rev'!A710</f>
        <v>Windham</v>
      </c>
      <c r="AN713" s="21" t="str">
        <f t="shared" ref="AN713:AN727" si="75">A713</f>
        <v>Windham</v>
      </c>
      <c r="AO713" s="21" t="b">
        <f t="shared" ref="AO713:AO727" si="76">AM713=AN713</f>
        <v>1</v>
      </c>
    </row>
    <row r="714" spans="1:41" ht="12" customHeight="1" x14ac:dyDescent="0.2">
      <c r="A714" s="1" t="s">
        <v>846</v>
      </c>
      <c r="C714" s="1" t="s">
        <v>770</v>
      </c>
      <c r="D714" s="10"/>
      <c r="E714" s="76">
        <v>575096.23</v>
      </c>
      <c r="F714" s="76"/>
      <c r="G714" s="76">
        <v>12021.22</v>
      </c>
      <c r="H714" s="76"/>
      <c r="I714" s="76">
        <v>28819.02</v>
      </c>
      <c r="J714" s="76"/>
      <c r="K714" s="76">
        <v>3803.14</v>
      </c>
      <c r="L714" s="76"/>
      <c r="M714" s="76">
        <v>0</v>
      </c>
      <c r="N714" s="76"/>
      <c r="O714" s="76">
        <v>332332.2</v>
      </c>
      <c r="P714" s="76"/>
      <c r="Q714" s="76">
        <v>307775.19</v>
      </c>
      <c r="R714" s="76"/>
      <c r="S714" s="76">
        <v>0</v>
      </c>
      <c r="T714" s="76"/>
      <c r="U714" s="76">
        <v>0</v>
      </c>
      <c r="V714" s="76"/>
      <c r="W714" s="76">
        <v>0</v>
      </c>
      <c r="X714" s="76"/>
      <c r="Y714" s="76">
        <v>128160</v>
      </c>
      <c r="Z714" s="76"/>
      <c r="AA714" s="76">
        <v>60200</v>
      </c>
      <c r="AB714" s="76"/>
      <c r="AC714" s="76">
        <v>0</v>
      </c>
      <c r="AD714" s="76"/>
      <c r="AE714" s="76">
        <f t="shared" si="74"/>
        <v>1448207</v>
      </c>
      <c r="AF714" s="76"/>
      <c r="AG714" s="76">
        <v>28062.2</v>
      </c>
      <c r="AH714" s="76"/>
      <c r="AI714" s="76">
        <v>312592.89</v>
      </c>
      <c r="AJ714" s="76"/>
      <c r="AK714" s="76">
        <v>340655.09</v>
      </c>
      <c r="AL714" s="24">
        <f>+'Gen Rev'!AI711-'Gen Exp'!AE714+'Gen Exp'!AI714-AK714</f>
        <v>0</v>
      </c>
      <c r="AM714" s="41" t="str">
        <f>'Gen Rev'!A711</f>
        <v>Wintersville</v>
      </c>
      <c r="AN714" s="21" t="str">
        <f t="shared" si="75"/>
        <v>Wintersville</v>
      </c>
      <c r="AO714" s="21" t="b">
        <f t="shared" si="76"/>
        <v>1</v>
      </c>
    </row>
    <row r="715" spans="1:41" ht="12" hidden="1" customHeight="1" x14ac:dyDescent="0.2">
      <c r="A715" s="1" t="s">
        <v>386</v>
      </c>
      <c r="C715" s="1" t="s">
        <v>378</v>
      </c>
      <c r="D715" s="21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>
        <f t="shared" si="74"/>
        <v>0</v>
      </c>
      <c r="AF715" s="76"/>
      <c r="AG715" s="76"/>
      <c r="AH715" s="76"/>
      <c r="AI715" s="76"/>
      <c r="AJ715" s="76"/>
      <c r="AK715" s="76"/>
      <c r="AL715" s="24">
        <f>+'Gen Rev'!AI712-'Gen Exp'!AE715+'Gen Exp'!AI715-AK715</f>
        <v>0</v>
      </c>
      <c r="AM715" s="41" t="str">
        <f>'Gen Rev'!A712</f>
        <v>Woodlawn</v>
      </c>
      <c r="AN715" s="21" t="str">
        <f t="shared" si="75"/>
        <v>Woodlawn</v>
      </c>
      <c r="AO715" s="21" t="b">
        <f t="shared" si="76"/>
        <v>1</v>
      </c>
    </row>
    <row r="716" spans="1:41" ht="12" hidden="1" customHeight="1" x14ac:dyDescent="0.2">
      <c r="A716" s="1" t="s">
        <v>327</v>
      </c>
      <c r="C716" s="1" t="s">
        <v>316</v>
      </c>
      <c r="D716" s="21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>
        <f t="shared" si="74"/>
        <v>0</v>
      </c>
      <c r="AF716" s="76"/>
      <c r="AG716" s="76"/>
      <c r="AH716" s="76"/>
      <c r="AI716" s="76"/>
      <c r="AJ716" s="76"/>
      <c r="AK716" s="76"/>
      <c r="AL716" s="24">
        <f>+'Gen Rev'!AI713-'Gen Exp'!AE716+'Gen Exp'!AI716-AK716</f>
        <v>0</v>
      </c>
      <c r="AM716" s="41" t="str">
        <f>'Gen Rev'!A713</f>
        <v>Woodmere</v>
      </c>
      <c r="AN716" s="21" t="str">
        <f t="shared" si="75"/>
        <v>Woodmere</v>
      </c>
      <c r="AO716" s="21" t="b">
        <f t="shared" si="76"/>
        <v>1</v>
      </c>
    </row>
    <row r="717" spans="1:41" ht="12" customHeight="1" x14ac:dyDescent="0.2">
      <c r="A717" s="1" t="s">
        <v>166</v>
      </c>
      <c r="C717" s="1" t="s">
        <v>785</v>
      </c>
      <c r="E717" s="76">
        <v>343648.59</v>
      </c>
      <c r="F717" s="76"/>
      <c r="G717" s="76">
        <v>12734.53</v>
      </c>
      <c r="H717" s="76"/>
      <c r="I717" s="76">
        <v>0</v>
      </c>
      <c r="J717" s="76"/>
      <c r="K717" s="76">
        <v>0</v>
      </c>
      <c r="L717" s="76"/>
      <c r="M717" s="76">
        <v>0</v>
      </c>
      <c r="N717" s="76"/>
      <c r="O717" s="76">
        <v>0</v>
      </c>
      <c r="P717" s="76"/>
      <c r="Q717" s="76">
        <v>182534.67</v>
      </c>
      <c r="R717" s="76"/>
      <c r="S717" s="76">
        <v>0</v>
      </c>
      <c r="T717" s="76"/>
      <c r="U717" s="76">
        <v>0</v>
      </c>
      <c r="V717" s="76"/>
      <c r="W717" s="76">
        <v>0</v>
      </c>
      <c r="X717" s="76"/>
      <c r="Y717" s="76">
        <v>0</v>
      </c>
      <c r="Z717" s="76"/>
      <c r="AA717" s="76">
        <v>0</v>
      </c>
      <c r="AB717" s="76"/>
      <c r="AC717" s="76">
        <v>0</v>
      </c>
      <c r="AD717" s="76"/>
      <c r="AE717" s="76">
        <f t="shared" si="74"/>
        <v>538917.79</v>
      </c>
      <c r="AF717" s="76"/>
      <c r="AG717" s="76">
        <v>25515.83</v>
      </c>
      <c r="AH717" s="76"/>
      <c r="AI717" s="76">
        <v>11459.86</v>
      </c>
      <c r="AJ717" s="76"/>
      <c r="AK717" s="76">
        <v>36975.69</v>
      </c>
      <c r="AL717" s="24">
        <f>+'Gen Rev'!AI714-'Gen Exp'!AE717+'Gen Exp'!AI717-AK717</f>
        <v>-1.6007106751203537E-10</v>
      </c>
      <c r="AM717" s="41" t="str">
        <f>'Gen Rev'!A714</f>
        <v>Woodsfield</v>
      </c>
      <c r="AN717" s="21" t="str">
        <f t="shared" si="75"/>
        <v>Woodsfield</v>
      </c>
      <c r="AO717" s="21" t="b">
        <f t="shared" si="76"/>
        <v>1</v>
      </c>
    </row>
    <row r="718" spans="1:41" ht="12" customHeight="1" x14ac:dyDescent="0.2">
      <c r="A718" s="1" t="s">
        <v>290</v>
      </c>
      <c r="C718" s="1" t="s">
        <v>287</v>
      </c>
      <c r="D718" s="23"/>
      <c r="E718" s="76">
        <v>5000</v>
      </c>
      <c r="F718" s="76"/>
      <c r="G718" s="76">
        <v>703.28</v>
      </c>
      <c r="H718" s="76"/>
      <c r="I718" s="76">
        <v>5772.01</v>
      </c>
      <c r="J718" s="76"/>
      <c r="K718" s="76">
        <v>487.5</v>
      </c>
      <c r="L718" s="76"/>
      <c r="M718" s="76">
        <v>0</v>
      </c>
      <c r="N718" s="76"/>
      <c r="O718" s="76">
        <v>0</v>
      </c>
      <c r="P718" s="76"/>
      <c r="Q718" s="76">
        <v>43272.34</v>
      </c>
      <c r="R718" s="76"/>
      <c r="S718" s="76">
        <v>0</v>
      </c>
      <c r="T718" s="76"/>
      <c r="U718" s="76">
        <v>0</v>
      </c>
      <c r="V718" s="76"/>
      <c r="W718" s="76">
        <v>0</v>
      </c>
      <c r="X718" s="76"/>
      <c r="Y718" s="76">
        <v>0</v>
      </c>
      <c r="Z718" s="76"/>
      <c r="AA718" s="76">
        <v>0</v>
      </c>
      <c r="AB718" s="76"/>
      <c r="AC718" s="76">
        <v>126</v>
      </c>
      <c r="AD718" s="76"/>
      <c r="AE718" s="76">
        <f t="shared" si="74"/>
        <v>55361.13</v>
      </c>
      <c r="AF718" s="76"/>
      <c r="AG718" s="76">
        <v>18134.57</v>
      </c>
      <c r="AH718" s="76"/>
      <c r="AI718" s="76">
        <v>35810.69</v>
      </c>
      <c r="AJ718" s="76"/>
      <c r="AK718" s="76">
        <v>53945.26</v>
      </c>
      <c r="AL718" s="24">
        <f>+'Gen Rev'!AI715-'Gen Exp'!AE718+'Gen Exp'!AI718-AK718</f>
        <v>0</v>
      </c>
      <c r="AM718" s="41" t="str">
        <f>'Gen Rev'!A715</f>
        <v>Woodstock</v>
      </c>
      <c r="AN718" s="21" t="str">
        <f t="shared" si="75"/>
        <v>Woodstock</v>
      </c>
      <c r="AO718" s="21" t="b">
        <f t="shared" si="76"/>
        <v>1</v>
      </c>
    </row>
    <row r="719" spans="1:41" ht="12" customHeight="1" x14ac:dyDescent="0.2">
      <c r="A719" s="1" t="s">
        <v>527</v>
      </c>
      <c r="C719" s="1" t="s">
        <v>525</v>
      </c>
      <c r="E719" s="76">
        <v>348841</v>
      </c>
      <c r="F719" s="76"/>
      <c r="G719" s="76">
        <v>1243</v>
      </c>
      <c r="H719" s="76"/>
      <c r="I719" s="76">
        <v>8119</v>
      </c>
      <c r="J719" s="76"/>
      <c r="K719" s="76">
        <v>6126</v>
      </c>
      <c r="L719" s="76"/>
      <c r="M719" s="76">
        <v>0</v>
      </c>
      <c r="N719" s="76"/>
      <c r="O719" s="76">
        <v>20505</v>
      </c>
      <c r="P719" s="76"/>
      <c r="Q719" s="76">
        <v>145862</v>
      </c>
      <c r="R719" s="76"/>
      <c r="S719" s="76">
        <v>71125</v>
      </c>
      <c r="T719" s="76"/>
      <c r="U719" s="76">
        <v>0</v>
      </c>
      <c r="V719" s="76"/>
      <c r="W719" s="76">
        <v>0</v>
      </c>
      <c r="X719" s="76"/>
      <c r="Y719" s="76">
        <v>76485</v>
      </c>
      <c r="Z719" s="76"/>
      <c r="AA719" s="76">
        <v>0</v>
      </c>
      <c r="AB719" s="76"/>
      <c r="AC719" s="76">
        <v>0</v>
      </c>
      <c r="AD719" s="76"/>
      <c r="AE719" s="76">
        <f t="shared" si="74"/>
        <v>678306</v>
      </c>
      <c r="AF719" s="76"/>
      <c r="AG719" s="76">
        <v>-59491</v>
      </c>
      <c r="AH719" s="76"/>
      <c r="AI719" s="76">
        <f>AK719-AG719</f>
        <v>263725</v>
      </c>
      <c r="AJ719" s="76"/>
      <c r="AK719" s="76">
        <v>204234</v>
      </c>
      <c r="AL719" s="24">
        <f>+'Gen Rev'!AI716-'Gen Exp'!AE719+'Gen Exp'!AI719-AK719</f>
        <v>0</v>
      </c>
      <c r="AM719" s="41" t="str">
        <f>'Gen Rev'!A716</f>
        <v>Woodville</v>
      </c>
      <c r="AN719" s="21" t="str">
        <f t="shared" si="75"/>
        <v>Woodville</v>
      </c>
      <c r="AO719" s="21" t="b">
        <f t="shared" si="76"/>
        <v>1</v>
      </c>
    </row>
    <row r="720" spans="1:41" ht="12" customHeight="1" x14ac:dyDescent="0.2">
      <c r="A720" s="1" t="s">
        <v>240</v>
      </c>
      <c r="C720" s="1" t="s">
        <v>808</v>
      </c>
      <c r="E720" s="76">
        <v>0</v>
      </c>
      <c r="F720" s="76"/>
      <c r="G720" s="76">
        <v>1000</v>
      </c>
      <c r="H720" s="76"/>
      <c r="I720" s="76">
        <v>0</v>
      </c>
      <c r="J720" s="76"/>
      <c r="K720" s="76">
        <v>0</v>
      </c>
      <c r="L720" s="76"/>
      <c r="M720" s="76">
        <v>0</v>
      </c>
      <c r="N720" s="76"/>
      <c r="O720" s="76">
        <v>0</v>
      </c>
      <c r="P720" s="76"/>
      <c r="Q720" s="76">
        <v>41720.65</v>
      </c>
      <c r="R720" s="76"/>
      <c r="S720" s="76">
        <v>0</v>
      </c>
      <c r="T720" s="76"/>
      <c r="U720" s="76">
        <v>0</v>
      </c>
      <c r="V720" s="76"/>
      <c r="W720" s="76">
        <v>0</v>
      </c>
      <c r="X720" s="76"/>
      <c r="Y720" s="76">
        <v>0</v>
      </c>
      <c r="Z720" s="76"/>
      <c r="AA720" s="76">
        <v>0</v>
      </c>
      <c r="AB720" s="76"/>
      <c r="AC720" s="76">
        <v>3000</v>
      </c>
      <c r="AD720" s="76"/>
      <c r="AE720" s="76">
        <f t="shared" si="74"/>
        <v>45720.65</v>
      </c>
      <c r="AF720" s="76"/>
      <c r="AG720" s="76">
        <v>165.99</v>
      </c>
      <c r="AH720" s="76"/>
      <c r="AI720" s="76">
        <v>988.62</v>
      </c>
      <c r="AJ720" s="76"/>
      <c r="AK720" s="76">
        <v>1154.6099999999999</v>
      </c>
      <c r="AL720" s="24">
        <f>+'Gen Rev'!AI717-'Gen Exp'!AE720+'Gen Exp'!AI720-AK720</f>
        <v>-2.0463630789890885E-12</v>
      </c>
      <c r="AM720" s="41" t="str">
        <f>'Gen Rev'!A717</f>
        <v>Wren</v>
      </c>
      <c r="AN720" s="21" t="str">
        <f t="shared" si="75"/>
        <v>Wren</v>
      </c>
      <c r="AO720" s="21" t="b">
        <f t="shared" si="76"/>
        <v>1</v>
      </c>
    </row>
    <row r="721" spans="1:41" ht="12" customHeight="1" x14ac:dyDescent="0.2">
      <c r="A721" s="1" t="s">
        <v>231</v>
      </c>
      <c r="C721" s="1" t="s">
        <v>805</v>
      </c>
      <c r="D721" s="23"/>
      <c r="E721" s="76">
        <v>7222.59</v>
      </c>
      <c r="F721" s="76"/>
      <c r="G721" s="76">
        <v>0</v>
      </c>
      <c r="H721" s="76"/>
      <c r="I721" s="76">
        <v>0</v>
      </c>
      <c r="J721" s="76"/>
      <c r="K721" s="76">
        <v>0</v>
      </c>
      <c r="L721" s="76"/>
      <c r="M721" s="76">
        <v>0</v>
      </c>
      <c r="N721" s="76"/>
      <c r="O721" s="76">
        <v>1200</v>
      </c>
      <c r="P721" s="76"/>
      <c r="Q721" s="76">
        <v>9036.51</v>
      </c>
      <c r="R721" s="76"/>
      <c r="S721" s="76">
        <v>0</v>
      </c>
      <c r="T721" s="76"/>
      <c r="U721" s="76">
        <v>0</v>
      </c>
      <c r="V721" s="76"/>
      <c r="W721" s="76">
        <v>0</v>
      </c>
      <c r="X721" s="76"/>
      <c r="Y721" s="76">
        <v>0</v>
      </c>
      <c r="Z721" s="76"/>
      <c r="AA721" s="76">
        <v>0</v>
      </c>
      <c r="AB721" s="76"/>
      <c r="AC721" s="76">
        <v>0</v>
      </c>
      <c r="AD721" s="76"/>
      <c r="AE721" s="76">
        <f t="shared" si="74"/>
        <v>17459.099999999999</v>
      </c>
      <c r="AF721" s="76"/>
      <c r="AG721" s="76">
        <v>4930.7299999999996</v>
      </c>
      <c r="AH721" s="76"/>
      <c r="AI721" s="76">
        <v>35499.599999999999</v>
      </c>
      <c r="AJ721" s="76"/>
      <c r="AK721" s="76">
        <v>40430.33</v>
      </c>
      <c r="AL721" s="24">
        <f>+'Gen Rev'!AI718-'Gen Exp'!AE721+'Gen Exp'!AI721-AK721</f>
        <v>0</v>
      </c>
      <c r="AM721" s="41" t="str">
        <f>'Gen Rev'!A718</f>
        <v>Yankee Lake</v>
      </c>
      <c r="AN721" s="21" t="str">
        <f t="shared" si="75"/>
        <v>Yankee Lake</v>
      </c>
      <c r="AO721" s="21" t="b">
        <f t="shared" si="76"/>
        <v>1</v>
      </c>
    </row>
    <row r="722" spans="1:41" ht="12" customHeight="1" x14ac:dyDescent="0.2">
      <c r="A722" s="1" t="s">
        <v>374</v>
      </c>
      <c r="C722" s="1" t="s">
        <v>371</v>
      </c>
      <c r="E722" s="76">
        <v>1115056</v>
      </c>
      <c r="F722" s="76"/>
      <c r="G722" s="76">
        <v>9123</v>
      </c>
      <c r="H722" s="76"/>
      <c r="I722" s="76">
        <v>391015</v>
      </c>
      <c r="J722" s="76"/>
      <c r="K722" s="76">
        <v>246412</v>
      </c>
      <c r="L722" s="76"/>
      <c r="M722" s="76">
        <v>0</v>
      </c>
      <c r="N722" s="76"/>
      <c r="O722" s="76">
        <v>0</v>
      </c>
      <c r="P722" s="76"/>
      <c r="Q722" s="76">
        <v>521398</v>
      </c>
      <c r="R722" s="76"/>
      <c r="S722" s="76">
        <v>41566</v>
      </c>
      <c r="T722" s="76"/>
      <c r="U722" s="76">
        <v>0</v>
      </c>
      <c r="V722" s="76"/>
      <c r="W722" s="76">
        <v>0</v>
      </c>
      <c r="X722" s="76"/>
      <c r="Y722" s="76">
        <v>230806</v>
      </c>
      <c r="Z722" s="76"/>
      <c r="AA722" s="76">
        <v>0</v>
      </c>
      <c r="AB722" s="76"/>
      <c r="AC722" s="76">
        <v>0</v>
      </c>
      <c r="AD722" s="76"/>
      <c r="AE722" s="76">
        <f t="shared" si="74"/>
        <v>2555376</v>
      </c>
      <c r="AF722" s="76"/>
      <c r="AG722" s="76">
        <f>2840348-2324570-230806</f>
        <v>284972</v>
      </c>
      <c r="AH722" s="76"/>
      <c r="AI722" s="76">
        <v>2279740</v>
      </c>
      <c r="AJ722" s="76"/>
      <c r="AK722" s="76">
        <v>2564712</v>
      </c>
      <c r="AL722" s="24">
        <f>+'Gen Rev'!AI719-'Gen Exp'!AE722+'Gen Exp'!AI722-AK722</f>
        <v>0</v>
      </c>
      <c r="AM722" s="41" t="str">
        <f>'Gen Rev'!A719</f>
        <v>Yellow Springs</v>
      </c>
      <c r="AN722" s="21" t="str">
        <f t="shared" si="75"/>
        <v>Yellow Springs</v>
      </c>
      <c r="AO722" s="21" t="b">
        <f t="shared" si="76"/>
        <v>1</v>
      </c>
    </row>
    <row r="723" spans="1:41" ht="12" customHeight="1" x14ac:dyDescent="0.2">
      <c r="A723" s="1" t="s">
        <v>340</v>
      </c>
      <c r="C723" s="1" t="s">
        <v>329</v>
      </c>
      <c r="E723" s="76">
        <v>4884</v>
      </c>
      <c r="F723" s="76"/>
      <c r="G723" s="76">
        <v>358</v>
      </c>
      <c r="H723" s="76"/>
      <c r="I723" s="76">
        <v>0</v>
      </c>
      <c r="J723" s="76"/>
      <c r="K723" s="76">
        <v>0</v>
      </c>
      <c r="L723" s="76"/>
      <c r="M723" s="76">
        <v>5781</v>
      </c>
      <c r="N723" s="76"/>
      <c r="O723" s="76">
        <v>0</v>
      </c>
      <c r="P723" s="76"/>
      <c r="Q723" s="76">
        <v>21122</v>
      </c>
      <c r="R723" s="76"/>
      <c r="S723" s="76">
        <v>0</v>
      </c>
      <c r="T723" s="76"/>
      <c r="U723" s="76">
        <v>0</v>
      </c>
      <c r="V723" s="76"/>
      <c r="W723" s="76">
        <v>0</v>
      </c>
      <c r="X723" s="76"/>
      <c r="Y723" s="76">
        <v>0</v>
      </c>
      <c r="Z723" s="76"/>
      <c r="AA723" s="76">
        <v>0</v>
      </c>
      <c r="AB723" s="76"/>
      <c r="AC723" s="76">
        <v>0</v>
      </c>
      <c r="AD723" s="76"/>
      <c r="AE723" s="76">
        <f t="shared" si="74"/>
        <v>32145</v>
      </c>
      <c r="AF723" s="76"/>
      <c r="AG723" s="76">
        <f>-10116+50122</f>
        <v>40006</v>
      </c>
      <c r="AH723" s="76"/>
      <c r="AI723" s="76">
        <f>AK723-AG723</f>
        <v>19860</v>
      </c>
      <c r="AJ723" s="76"/>
      <c r="AK723" s="76">
        <v>59866</v>
      </c>
      <c r="AL723" s="24">
        <f>+'Gen Rev'!AI720-'Gen Exp'!AE723+'Gen Exp'!AI723-AK723</f>
        <v>0</v>
      </c>
      <c r="AM723" s="41" t="str">
        <f>'Gen Rev'!A720</f>
        <v>Yorkshire</v>
      </c>
      <c r="AN723" s="21" t="str">
        <f t="shared" si="75"/>
        <v>Yorkshire</v>
      </c>
      <c r="AO723" s="21" t="b">
        <f t="shared" si="76"/>
        <v>1</v>
      </c>
    </row>
    <row r="724" spans="1:41" ht="12" customHeight="1" x14ac:dyDescent="0.2">
      <c r="A724" s="1" t="s">
        <v>425</v>
      </c>
      <c r="C724" s="1" t="s">
        <v>420</v>
      </c>
      <c r="E724" s="76">
        <v>192391</v>
      </c>
      <c r="F724" s="76"/>
      <c r="G724" s="76">
        <v>111886</v>
      </c>
      <c r="H724" s="76"/>
      <c r="I724" s="76">
        <v>0</v>
      </c>
      <c r="J724" s="76"/>
      <c r="K724" s="76">
        <v>218</v>
      </c>
      <c r="L724" s="76"/>
      <c r="M724" s="76">
        <v>0</v>
      </c>
      <c r="N724" s="76"/>
      <c r="O724" s="76">
        <v>0</v>
      </c>
      <c r="P724" s="76"/>
      <c r="Q724" s="76">
        <v>37340</v>
      </c>
      <c r="R724" s="76"/>
      <c r="S724" s="76">
        <v>0</v>
      </c>
      <c r="T724" s="76"/>
      <c r="U724" s="76">
        <v>0</v>
      </c>
      <c r="V724" s="76"/>
      <c r="W724" s="76">
        <v>0</v>
      </c>
      <c r="X724" s="76"/>
      <c r="Y724" s="76">
        <v>0</v>
      </c>
      <c r="Z724" s="76"/>
      <c r="AA724" s="76">
        <v>0</v>
      </c>
      <c r="AB724" s="76"/>
      <c r="AC724" s="76">
        <v>0</v>
      </c>
      <c r="AD724" s="76"/>
      <c r="AE724" s="76">
        <f t="shared" si="74"/>
        <v>341835</v>
      </c>
      <c r="AF724" s="76"/>
      <c r="AG724" s="76">
        <f>'Gen Rev'!AI721-'Gen Exp'!AE724</f>
        <v>-88217</v>
      </c>
      <c r="AH724" s="76"/>
      <c r="AI724" s="76">
        <f>AK724-AG724</f>
        <v>202787</v>
      </c>
      <c r="AJ724" s="76"/>
      <c r="AK724" s="76">
        <v>114570</v>
      </c>
      <c r="AL724" s="24">
        <f>+'Gen Rev'!AI721-'Gen Exp'!AE724+'Gen Exp'!AI724-AK724</f>
        <v>0</v>
      </c>
      <c r="AM724" s="41" t="str">
        <f>'Gen Rev'!A721</f>
        <v>Yorkville</v>
      </c>
      <c r="AN724" s="21" t="str">
        <f t="shared" si="75"/>
        <v>Yorkville</v>
      </c>
      <c r="AO724" s="21" t="b">
        <f t="shared" si="76"/>
        <v>1</v>
      </c>
    </row>
    <row r="725" spans="1:41" ht="12" customHeight="1" x14ac:dyDescent="0.2">
      <c r="A725" s="1" t="s">
        <v>578</v>
      </c>
      <c r="C725" s="1" t="s">
        <v>82</v>
      </c>
      <c r="E725" s="76">
        <v>0</v>
      </c>
      <c r="F725" s="76"/>
      <c r="G725" s="76">
        <v>0</v>
      </c>
      <c r="H725" s="76"/>
      <c r="I725" s="76">
        <v>0</v>
      </c>
      <c r="J725" s="76"/>
      <c r="K725" s="76">
        <v>0</v>
      </c>
      <c r="L725" s="76"/>
      <c r="M725" s="76">
        <v>2003</v>
      </c>
      <c r="N725" s="76"/>
      <c r="O725" s="76">
        <v>0</v>
      </c>
      <c r="P725" s="76"/>
      <c r="Q725" s="76">
        <v>13930</v>
      </c>
      <c r="R725" s="76"/>
      <c r="S725" s="76">
        <v>0</v>
      </c>
      <c r="T725" s="76"/>
      <c r="U725" s="76">
        <v>0</v>
      </c>
      <c r="V725" s="76"/>
      <c r="W725" s="76">
        <v>0</v>
      </c>
      <c r="X725" s="76"/>
      <c r="Y725" s="76">
        <v>0</v>
      </c>
      <c r="Z725" s="76"/>
      <c r="AA725" s="76">
        <v>0</v>
      </c>
      <c r="AB725" s="76"/>
      <c r="AC725" s="76">
        <v>0</v>
      </c>
      <c r="AD725" s="76"/>
      <c r="AE725" s="76">
        <f t="shared" si="74"/>
        <v>15933</v>
      </c>
      <c r="AF725" s="76"/>
      <c r="AG725" s="76">
        <v>-1252</v>
      </c>
      <c r="AH725" s="76"/>
      <c r="AI725" s="76">
        <v>4446</v>
      </c>
      <c r="AJ725" s="76"/>
      <c r="AK725" s="76">
        <v>3194</v>
      </c>
      <c r="AL725" s="24">
        <f>+'Gen Rev'!AI722-'Gen Exp'!AE725+'Gen Exp'!AI725-AK725</f>
        <v>0</v>
      </c>
      <c r="AM725" s="41" t="str">
        <f>'Gen Rev'!A722</f>
        <v>Zaleski</v>
      </c>
      <c r="AN725" s="21" t="str">
        <f t="shared" si="75"/>
        <v>Zaleski</v>
      </c>
      <c r="AO725" s="21" t="b">
        <f t="shared" si="76"/>
        <v>1</v>
      </c>
    </row>
    <row r="726" spans="1:41" ht="12" customHeight="1" x14ac:dyDescent="0.2">
      <c r="A726" s="1" t="s">
        <v>449</v>
      </c>
      <c r="C726" s="1" t="s">
        <v>446</v>
      </c>
      <c r="E726" s="76">
        <v>0</v>
      </c>
      <c r="F726" s="76"/>
      <c r="G726" s="76">
        <v>0</v>
      </c>
      <c r="H726" s="76"/>
      <c r="I726" s="76">
        <v>643</v>
      </c>
      <c r="J726" s="76"/>
      <c r="K726" s="76">
        <v>137</v>
      </c>
      <c r="L726" s="76"/>
      <c r="M726" s="76">
        <v>1028</v>
      </c>
      <c r="N726" s="76"/>
      <c r="O726" s="76">
        <v>0</v>
      </c>
      <c r="P726" s="76"/>
      <c r="Q726" s="76">
        <v>21346</v>
      </c>
      <c r="R726" s="76"/>
      <c r="S726" s="76">
        <v>0</v>
      </c>
      <c r="T726" s="76"/>
      <c r="U726" s="76">
        <v>0</v>
      </c>
      <c r="V726" s="76"/>
      <c r="W726" s="76">
        <v>0</v>
      </c>
      <c r="X726" s="76"/>
      <c r="Y726" s="76">
        <v>0</v>
      </c>
      <c r="Z726" s="76"/>
      <c r="AA726" s="76">
        <v>0</v>
      </c>
      <c r="AB726" s="76"/>
      <c r="AC726" s="76">
        <v>0</v>
      </c>
      <c r="AD726" s="76"/>
      <c r="AE726" s="76">
        <f t="shared" si="74"/>
        <v>23154</v>
      </c>
      <c r="AF726" s="76"/>
      <c r="AG726" s="76">
        <v>-7151</v>
      </c>
      <c r="AH726" s="76"/>
      <c r="AI726" s="76">
        <v>47372</v>
      </c>
      <c r="AJ726" s="76"/>
      <c r="AK726" s="76">
        <v>40221</v>
      </c>
      <c r="AL726" s="24">
        <f>+'Gen Rev'!AI723-'Gen Exp'!AE726+'Gen Exp'!AI726-AK726</f>
        <v>0</v>
      </c>
      <c r="AM726" s="41" t="str">
        <f>'Gen Rev'!A723</f>
        <v>Zanesfield</v>
      </c>
      <c r="AN726" s="21" t="str">
        <f t="shared" si="75"/>
        <v>Zanesfield</v>
      </c>
      <c r="AO726" s="21" t="b">
        <f t="shared" si="76"/>
        <v>1</v>
      </c>
    </row>
    <row r="727" spans="1:41" ht="12" customHeight="1" x14ac:dyDescent="0.2">
      <c r="A727" s="1" t="s">
        <v>235</v>
      </c>
      <c r="C727" s="1" t="s">
        <v>806</v>
      </c>
      <c r="D727" s="23"/>
      <c r="E727" s="76">
        <v>5348.41</v>
      </c>
      <c r="F727" s="76"/>
      <c r="G727" s="76">
        <v>45</v>
      </c>
      <c r="H727" s="76"/>
      <c r="I727" s="76">
        <v>0</v>
      </c>
      <c r="J727" s="76"/>
      <c r="K727" s="76">
        <v>50</v>
      </c>
      <c r="L727" s="76"/>
      <c r="M727" s="76">
        <v>0</v>
      </c>
      <c r="N727" s="76"/>
      <c r="O727" s="76">
        <v>3767.5</v>
      </c>
      <c r="P727" s="76"/>
      <c r="Q727" s="76">
        <v>16709.759999999998</v>
      </c>
      <c r="R727" s="76"/>
      <c r="S727" s="76">
        <v>0</v>
      </c>
      <c r="T727" s="76"/>
      <c r="U727" s="76">
        <v>0</v>
      </c>
      <c r="V727" s="76"/>
      <c r="W727" s="76">
        <v>0</v>
      </c>
      <c r="X727" s="76"/>
      <c r="Y727" s="76">
        <v>0</v>
      </c>
      <c r="Z727" s="76"/>
      <c r="AA727" s="76">
        <v>0</v>
      </c>
      <c r="AB727" s="76"/>
      <c r="AC727" s="76">
        <v>0</v>
      </c>
      <c r="AD727" s="76"/>
      <c r="AE727" s="76">
        <f t="shared" si="74"/>
        <v>25920.67</v>
      </c>
      <c r="AF727" s="76"/>
      <c r="AG727" s="76">
        <v>60.52</v>
      </c>
      <c r="AH727" s="76"/>
      <c r="AI727" s="76">
        <v>29688.39</v>
      </c>
      <c r="AJ727" s="76"/>
      <c r="AK727" s="76">
        <v>29748.91</v>
      </c>
      <c r="AL727" s="24">
        <f>+'Gen Rev'!AI724-'Gen Exp'!AE727+'Gen Exp'!AI727-AK727</f>
        <v>0</v>
      </c>
      <c r="AM727" s="41" t="str">
        <f>'Gen Rev'!A724</f>
        <v>Zoar</v>
      </c>
      <c r="AN727" s="21" t="str">
        <f t="shared" si="75"/>
        <v>Zoar</v>
      </c>
      <c r="AO727" s="21" t="b">
        <f t="shared" si="76"/>
        <v>1</v>
      </c>
    </row>
    <row r="728" spans="1:41" x14ac:dyDescent="0.2">
      <c r="A728" s="21"/>
      <c r="B728" s="21"/>
      <c r="C728" s="21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41" x14ac:dyDescent="0.2">
      <c r="A729" s="21"/>
      <c r="B729" s="21"/>
      <c r="C729" s="21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41" x14ac:dyDescent="0.2">
      <c r="A730" s="21"/>
      <c r="B730" s="21"/>
      <c r="C730" s="21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41" x14ac:dyDescent="0.2">
      <c r="A731" s="21"/>
      <c r="B731" s="21"/>
      <c r="C731" s="21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41" x14ac:dyDescent="0.2">
      <c r="A732" s="21"/>
      <c r="B732" s="21"/>
      <c r="C732" s="21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41" x14ac:dyDescent="0.2">
      <c r="A733" s="21"/>
      <c r="B733" s="21"/>
      <c r="C733" s="21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41" x14ac:dyDescent="0.2">
      <c r="A734" s="21"/>
      <c r="B734" s="21"/>
      <c r="C734" s="21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41" x14ac:dyDescent="0.2">
      <c r="A735" s="21"/>
      <c r="B735" s="21"/>
      <c r="C735" s="21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41" x14ac:dyDescent="0.2">
      <c r="A736" s="21"/>
      <c r="B736" s="21"/>
      <c r="C736" s="21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 x14ac:dyDescent="0.2">
      <c r="A737" s="21"/>
      <c r="B737" s="21"/>
      <c r="C737" s="21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 x14ac:dyDescent="0.2">
      <c r="A738" s="21"/>
      <c r="B738" s="21"/>
      <c r="C738" s="21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 x14ac:dyDescent="0.2">
      <c r="A739" s="21"/>
      <c r="B739" s="21"/>
      <c r="C739" s="21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 x14ac:dyDescent="0.2">
      <c r="A740" s="21"/>
      <c r="B740" s="21"/>
      <c r="C740" s="21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 x14ac:dyDescent="0.2">
      <c r="A741" s="21"/>
      <c r="B741" s="21"/>
      <c r="C741" s="21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 x14ac:dyDescent="0.2">
      <c r="A742" s="21"/>
      <c r="B742" s="21"/>
      <c r="C742" s="21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 x14ac:dyDescent="0.2">
      <c r="A743" s="21"/>
      <c r="B743" s="21"/>
      <c r="C743" s="21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</sheetData>
  <pageMargins left="0.75" right="0.5" top="0.5" bottom="0.5" header="0" footer="0.3"/>
  <pageSetup scale="80" firstPageNumber="28" fitToWidth="2" fitToHeight="14" pageOrder="overThenDown" orientation="portrait" useFirstPageNumber="1" horizontalDpi="1200" verticalDpi="1200" r:id="rId1"/>
  <headerFooter scaleWithDoc="0" alignWithMargins="0">
    <oddFooter>&amp;C&amp;P</oddFooter>
  </headerFooter>
  <rowBreaks count="10" manualBreakCount="10">
    <brk id="75" max="30" man="1"/>
    <brk id="149" max="30" man="1"/>
    <brk id="221" max="30" man="1"/>
    <brk id="294" max="30" man="1"/>
    <brk id="363" max="30" man="1"/>
    <brk id="433" max="30" man="1"/>
    <brk id="502" max="30" man="1"/>
    <brk id="573" max="30" man="1"/>
    <brk id="641" max="30" man="1"/>
    <brk id="71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7"/>
  <sheetViews>
    <sheetView view="pageBreakPreview" zoomScaleNormal="100" zoomScaleSheetLayoutView="100" workbookViewId="0">
      <pane xSplit="4" ySplit="7" topLeftCell="E657" activePane="bottomRight" state="frozen"/>
      <selection pane="topRight" activeCell="E1" sqref="E1"/>
      <selection pane="bottomLeft" activeCell="A8" sqref="A8"/>
      <selection pane="bottomRight" activeCell="A3" sqref="A3:XFD5"/>
    </sheetView>
  </sheetViews>
  <sheetFormatPr defaultColWidth="9.33203125" defaultRowHeight="12" x14ac:dyDescent="0.2"/>
  <cols>
    <col min="1" max="1" width="18.5" style="15" customWidth="1"/>
    <col min="2" max="2" width="1.83203125" style="15" customWidth="1"/>
    <col min="3" max="3" width="13" style="15" customWidth="1"/>
    <col min="4" max="4" width="1.6640625" style="15" customWidth="1"/>
    <col min="5" max="5" width="11.83203125" style="24" customWidth="1"/>
    <col min="6" max="6" width="1.33203125" style="24" customWidth="1"/>
    <col min="7" max="7" width="11.83203125" style="24" customWidth="1"/>
    <col min="8" max="8" width="1.33203125" style="24" customWidth="1"/>
    <col min="9" max="9" width="11.83203125" style="24" customWidth="1"/>
    <col min="10" max="10" width="1.33203125" style="24" customWidth="1"/>
    <col min="11" max="11" width="11.83203125" style="24" customWidth="1"/>
    <col min="12" max="12" width="1.33203125" style="24" customWidth="1"/>
    <col min="13" max="13" width="11.83203125" style="24" customWidth="1"/>
    <col min="14" max="14" width="1.33203125" style="24" customWidth="1"/>
    <col min="15" max="15" width="11.83203125" style="24" customWidth="1"/>
    <col min="16" max="16" width="1.33203125" style="24" customWidth="1"/>
    <col min="17" max="17" width="11.83203125" style="24" customWidth="1"/>
    <col min="18" max="18" width="1.83203125" style="24" hidden="1" customWidth="1"/>
    <col min="19" max="19" width="11.832031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1.83203125" style="24" customWidth="1"/>
    <col min="24" max="24" width="1.83203125" style="24" customWidth="1"/>
    <col min="25" max="25" width="11.83203125" style="24" customWidth="1"/>
    <col min="26" max="26" width="1.83203125" style="24" customWidth="1"/>
    <col min="27" max="27" width="11.83203125" style="24" customWidth="1"/>
    <col min="28" max="28" width="1.83203125" style="24" customWidth="1"/>
    <col min="29" max="29" width="11.83203125" style="24" customWidth="1"/>
    <col min="30" max="30" width="1.83203125" style="24" customWidth="1"/>
    <col min="31" max="31" width="11.83203125" style="24" customWidth="1"/>
    <col min="32" max="32" width="1.83203125" style="24" customWidth="1"/>
    <col min="33" max="33" width="11.83203125" style="24" customWidth="1"/>
    <col min="34" max="34" width="1.83203125" style="24" customWidth="1"/>
    <col min="35" max="35" width="12.83203125" style="15" customWidth="1"/>
    <col min="36" max="36" width="1.83203125" style="15" customWidth="1"/>
    <col min="37" max="37" width="10.6640625" style="15" bestFit="1" customWidth="1"/>
    <col min="38" max="16384" width="9.33203125" style="15"/>
  </cols>
  <sheetData>
    <row r="1" spans="1:42" ht="12.6" customHeight="1" x14ac:dyDescent="0.2">
      <c r="A1" s="15" t="s">
        <v>615</v>
      </c>
    </row>
    <row r="2" spans="1:42" ht="12.6" customHeight="1" x14ac:dyDescent="0.2">
      <c r="A2" s="15" t="s">
        <v>857</v>
      </c>
    </row>
    <row r="3" spans="1:42" ht="12.6" customHeight="1" x14ac:dyDescent="0.2">
      <c r="A3" s="15" t="s">
        <v>953</v>
      </c>
      <c r="G3" s="52"/>
      <c r="H3" s="52"/>
    </row>
    <row r="4" spans="1:42" ht="12.6" customHeight="1" x14ac:dyDescent="0.2">
      <c r="A4" s="15" t="s">
        <v>850</v>
      </c>
    </row>
    <row r="5" spans="1:42" s="57" customFormat="1" ht="12.6" customHeight="1" x14ac:dyDescent="0.2">
      <c r="A5" s="53"/>
      <c r="B5" s="53"/>
      <c r="C5" s="53"/>
      <c r="D5" s="53"/>
      <c r="E5" s="54" t="s">
        <v>616</v>
      </c>
      <c r="F5" s="54"/>
      <c r="G5" s="55"/>
      <c r="H5" s="55"/>
      <c r="I5" s="55"/>
      <c r="J5" s="55"/>
      <c r="K5" s="55"/>
      <c r="L5" s="55"/>
      <c r="M5" s="55"/>
      <c r="N5" s="55"/>
      <c r="O5" s="54" t="s">
        <v>957</v>
      </c>
      <c r="P5" s="54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4" t="s">
        <v>635</v>
      </c>
      <c r="AF5" s="54"/>
      <c r="AG5" s="54" t="s">
        <v>968</v>
      </c>
      <c r="AH5" s="54"/>
      <c r="AI5" s="56"/>
      <c r="AJ5" s="56"/>
      <c r="AK5" s="56"/>
      <c r="AL5" s="56"/>
      <c r="AM5" s="56"/>
      <c r="AN5" s="56"/>
      <c r="AO5" s="56"/>
      <c r="AP5" s="56"/>
    </row>
    <row r="6" spans="1:42" s="57" customFormat="1" ht="12.6" customHeight="1" x14ac:dyDescent="0.2">
      <c r="A6" s="53"/>
      <c r="B6" s="53"/>
      <c r="C6" s="53"/>
      <c r="D6" s="53"/>
      <c r="E6" s="54" t="s">
        <v>617</v>
      </c>
      <c r="F6" s="54"/>
      <c r="G6" s="54" t="s">
        <v>619</v>
      </c>
      <c r="H6" s="54"/>
      <c r="I6" s="54" t="s">
        <v>621</v>
      </c>
      <c r="J6" s="54"/>
      <c r="K6" s="54" t="s">
        <v>623</v>
      </c>
      <c r="L6" s="54"/>
      <c r="M6" s="54" t="s">
        <v>625</v>
      </c>
      <c r="N6" s="54"/>
      <c r="O6" s="54" t="s">
        <v>628</v>
      </c>
      <c r="P6" s="54"/>
      <c r="Q6" s="54" t="s">
        <v>630</v>
      </c>
      <c r="R6" s="54"/>
      <c r="S6" s="55"/>
      <c r="T6" s="55"/>
      <c r="U6" s="58" t="s">
        <v>852</v>
      </c>
      <c r="V6" s="55"/>
      <c r="W6" s="58" t="s">
        <v>852</v>
      </c>
      <c r="X6" s="55"/>
      <c r="Y6" s="54" t="s">
        <v>632</v>
      </c>
      <c r="Z6" s="54"/>
      <c r="AA6" s="55"/>
      <c r="AB6" s="55"/>
      <c r="AC6" s="55"/>
      <c r="AD6" s="55"/>
      <c r="AE6" s="54" t="s">
        <v>636</v>
      </c>
      <c r="AF6" s="54"/>
      <c r="AG6" s="54" t="s">
        <v>724</v>
      </c>
      <c r="AH6" s="54"/>
      <c r="AI6" s="56"/>
      <c r="AJ6" s="56"/>
      <c r="AK6" s="56"/>
      <c r="AL6" s="56"/>
      <c r="AM6" s="56"/>
      <c r="AN6" s="56"/>
      <c r="AO6" s="56"/>
      <c r="AP6" s="56"/>
    </row>
    <row r="7" spans="1:42" s="60" customFormat="1" ht="12.6" customHeight="1" x14ac:dyDescent="0.2">
      <c r="A7" s="59" t="s">
        <v>726</v>
      </c>
      <c r="C7" s="59" t="s">
        <v>727</v>
      </c>
      <c r="E7" s="61" t="s">
        <v>618</v>
      </c>
      <c r="F7" s="62"/>
      <c r="G7" s="61" t="s">
        <v>620</v>
      </c>
      <c r="H7" s="62"/>
      <c r="I7" s="27" t="s">
        <v>622</v>
      </c>
      <c r="J7" s="42"/>
      <c r="K7" s="27" t="s">
        <v>624</v>
      </c>
      <c r="L7" s="42"/>
      <c r="M7" s="27" t="s">
        <v>626</v>
      </c>
      <c r="N7" s="42"/>
      <c r="O7" s="27" t="s">
        <v>629</v>
      </c>
      <c r="P7" s="42"/>
      <c r="Q7" s="27" t="s">
        <v>631</v>
      </c>
      <c r="R7" s="42"/>
      <c r="S7" s="27" t="s">
        <v>611</v>
      </c>
      <c r="T7" s="42"/>
      <c r="U7" s="65" t="s">
        <v>853</v>
      </c>
      <c r="V7" s="66"/>
      <c r="W7" s="65" t="s">
        <v>854</v>
      </c>
      <c r="X7" s="66"/>
      <c r="Y7" s="27" t="s">
        <v>633</v>
      </c>
      <c r="Z7" s="42"/>
      <c r="AA7" s="63" t="s">
        <v>613</v>
      </c>
      <c r="AB7" s="64"/>
      <c r="AC7" s="63" t="s">
        <v>634</v>
      </c>
      <c r="AD7" s="64"/>
      <c r="AE7" s="27" t="s">
        <v>637</v>
      </c>
      <c r="AF7" s="42"/>
      <c r="AG7" s="27" t="s">
        <v>736</v>
      </c>
      <c r="AH7" s="42"/>
      <c r="AI7" s="59" t="s">
        <v>815</v>
      </c>
    </row>
    <row r="8" spans="1:42" s="60" customFormat="1" ht="12" customHeight="1" x14ac:dyDescent="0.2">
      <c r="E8" s="62"/>
      <c r="F8" s="62"/>
      <c r="G8" s="62"/>
      <c r="H8" s="6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66"/>
      <c r="V8" s="66"/>
      <c r="W8" s="66"/>
      <c r="X8" s="66"/>
      <c r="Y8" s="42"/>
      <c r="Z8" s="42"/>
      <c r="AA8" s="64"/>
      <c r="AB8" s="64"/>
      <c r="AC8" s="64"/>
      <c r="AD8" s="64"/>
      <c r="AE8" s="42"/>
      <c r="AF8" s="42"/>
      <c r="AG8" s="42"/>
      <c r="AH8" s="42"/>
      <c r="AI8" s="86"/>
      <c r="AK8" s="15"/>
      <c r="AL8" s="15"/>
      <c r="AM8" s="15"/>
    </row>
    <row r="9" spans="1:42" ht="12" customHeight="1" x14ac:dyDescent="0.2">
      <c r="A9" s="1" t="s">
        <v>282</v>
      </c>
      <c r="B9" s="1"/>
      <c r="C9" s="1" t="s">
        <v>283</v>
      </c>
      <c r="E9" s="89">
        <v>48407.21</v>
      </c>
      <c r="F9" s="89"/>
      <c r="G9" s="89">
        <v>113403.1</v>
      </c>
      <c r="H9" s="89"/>
      <c r="I9" s="89">
        <v>222093.28</v>
      </c>
      <c r="J9" s="89"/>
      <c r="K9" s="89">
        <v>0</v>
      </c>
      <c r="L9" s="89"/>
      <c r="M9" s="89">
        <v>131639.60999999999</v>
      </c>
      <c r="N9" s="89"/>
      <c r="O9" s="89">
        <v>74844.42</v>
      </c>
      <c r="P9" s="89"/>
      <c r="Q9" s="89">
        <v>1724.01</v>
      </c>
      <c r="R9" s="89"/>
      <c r="S9" s="89">
        <v>15953.68</v>
      </c>
      <c r="T9" s="89"/>
      <c r="U9" s="89">
        <v>0</v>
      </c>
      <c r="V9" s="89"/>
      <c r="W9" s="89">
        <v>0</v>
      </c>
      <c r="X9" s="89"/>
      <c r="Y9" s="89">
        <v>0</v>
      </c>
      <c r="Z9" s="89"/>
      <c r="AA9" s="89">
        <v>117998.93</v>
      </c>
      <c r="AB9" s="89"/>
      <c r="AC9" s="89">
        <v>0</v>
      </c>
      <c r="AD9" s="89"/>
      <c r="AE9" s="89">
        <v>0</v>
      </c>
      <c r="AF9" s="89"/>
      <c r="AG9" s="89">
        <v>20733.169999999998</v>
      </c>
      <c r="AH9" s="77"/>
      <c r="AI9" s="89">
        <f t="shared" ref="AI9:AI72" si="0">SUM(E9:AG9)</f>
        <v>746797.41</v>
      </c>
      <c r="AJ9" s="37"/>
      <c r="AK9" s="15" t="str">
        <f>'Gen Rev'!A9</f>
        <v>Aberdeen</v>
      </c>
      <c r="AL9" s="15" t="str">
        <f t="shared" ref="AL9:AL72" si="1">A9</f>
        <v>Aberdeen</v>
      </c>
      <c r="AM9" s="15" t="b">
        <f t="shared" ref="AM9:AM72" si="2">AK9=AL9</f>
        <v>1</v>
      </c>
    </row>
    <row r="10" spans="1:42" s="37" customFormat="1" ht="12" customHeight="1" x14ac:dyDescent="0.2">
      <c r="A10" s="37" t="s">
        <v>395</v>
      </c>
      <c r="C10" s="37" t="s">
        <v>396</v>
      </c>
      <c r="E10" s="77">
        <v>1641876</v>
      </c>
      <c r="F10" s="77"/>
      <c r="G10" s="77">
        <v>0</v>
      </c>
      <c r="H10" s="77"/>
      <c r="I10" s="77">
        <f>256605+982087</f>
        <v>1238692</v>
      </c>
      <c r="J10" s="77"/>
      <c r="K10" s="77">
        <v>71149</v>
      </c>
      <c r="L10" s="77"/>
      <c r="M10" s="77">
        <v>95363</v>
      </c>
      <c r="N10" s="77"/>
      <c r="O10" s="77">
        <v>48470</v>
      </c>
      <c r="P10" s="77"/>
      <c r="Q10" s="77">
        <v>18630</v>
      </c>
      <c r="R10" s="77"/>
      <c r="S10" s="77">
        <v>94197</v>
      </c>
      <c r="T10" s="77"/>
      <c r="U10" s="77">
        <v>0</v>
      </c>
      <c r="V10" s="77"/>
      <c r="W10" s="77">
        <v>0</v>
      </c>
      <c r="X10" s="77"/>
      <c r="Y10" s="77">
        <v>0</v>
      </c>
      <c r="Z10" s="77"/>
      <c r="AA10" s="77">
        <v>0</v>
      </c>
      <c r="AB10" s="77"/>
      <c r="AC10" s="77">
        <v>0</v>
      </c>
      <c r="AD10" s="77"/>
      <c r="AE10" s="77">
        <v>1200251</v>
      </c>
      <c r="AF10" s="77"/>
      <c r="AG10" s="77">
        <v>0</v>
      </c>
      <c r="AH10" s="77"/>
      <c r="AI10" s="77">
        <f t="shared" si="0"/>
        <v>4408628</v>
      </c>
      <c r="AK10" s="15" t="str">
        <f>'Gen Rev'!A10</f>
        <v>Ada</v>
      </c>
      <c r="AL10" s="15" t="str">
        <f t="shared" si="1"/>
        <v>Ada</v>
      </c>
      <c r="AM10" s="15" t="b">
        <f t="shared" si="2"/>
        <v>1</v>
      </c>
    </row>
    <row r="11" spans="1:42" s="31" customFormat="1" ht="12" customHeight="1" x14ac:dyDescent="0.2">
      <c r="A11" s="15" t="s">
        <v>483</v>
      </c>
      <c r="B11" s="15"/>
      <c r="C11" s="15" t="s">
        <v>484</v>
      </c>
      <c r="D11" s="15"/>
      <c r="E11" s="77">
        <f>2470+6654</f>
        <v>9124</v>
      </c>
      <c r="F11" s="77"/>
      <c r="G11" s="77">
        <v>0</v>
      </c>
      <c r="H11" s="77"/>
      <c r="I11" s="77">
        <v>8570</v>
      </c>
      <c r="J11" s="77"/>
      <c r="K11" s="77">
        <v>0</v>
      </c>
      <c r="L11" s="77"/>
      <c r="M11" s="77">
        <v>0</v>
      </c>
      <c r="N11" s="77"/>
      <c r="O11" s="77">
        <v>0</v>
      </c>
      <c r="P11" s="77"/>
      <c r="Q11" s="77">
        <v>6</v>
      </c>
      <c r="R11" s="77"/>
      <c r="S11" s="77">
        <v>6500</v>
      </c>
      <c r="T11" s="77"/>
      <c r="U11" s="77">
        <v>0</v>
      </c>
      <c r="V11" s="77"/>
      <c r="W11" s="77">
        <v>0</v>
      </c>
      <c r="X11" s="77"/>
      <c r="Y11" s="77">
        <v>0</v>
      </c>
      <c r="Z11" s="77"/>
      <c r="AA11" s="77">
        <v>0</v>
      </c>
      <c r="AB11" s="77"/>
      <c r="AC11" s="77">
        <v>0</v>
      </c>
      <c r="AD11" s="77"/>
      <c r="AE11" s="77">
        <v>0</v>
      </c>
      <c r="AF11" s="77"/>
      <c r="AG11" s="77">
        <v>0</v>
      </c>
      <c r="AH11" s="77"/>
      <c r="AI11" s="77">
        <f t="shared" si="0"/>
        <v>24200</v>
      </c>
      <c r="AJ11" s="24"/>
      <c r="AK11" s="15" t="str">
        <f>'Gen Rev'!A11</f>
        <v>Adamsville</v>
      </c>
      <c r="AL11" s="15" t="str">
        <f t="shared" si="1"/>
        <v>Adamsville</v>
      </c>
      <c r="AM11" s="15" t="b">
        <f t="shared" si="2"/>
        <v>1</v>
      </c>
    </row>
    <row r="12" spans="1:42" s="31" customFormat="1" ht="12" customHeight="1" x14ac:dyDescent="0.2">
      <c r="A12" s="1" t="s">
        <v>91</v>
      </c>
      <c r="B12" s="1"/>
      <c r="C12" s="1" t="s">
        <v>763</v>
      </c>
      <c r="D12" s="37"/>
      <c r="E12" s="77">
        <v>242642.17</v>
      </c>
      <c r="F12" s="77"/>
      <c r="G12" s="77">
        <v>252276.72</v>
      </c>
      <c r="H12" s="77"/>
      <c r="I12" s="77">
        <v>27913.89</v>
      </c>
      <c r="J12" s="77"/>
      <c r="K12" s="77">
        <v>0</v>
      </c>
      <c r="L12" s="77"/>
      <c r="M12" s="77">
        <v>203544.01</v>
      </c>
      <c r="N12" s="77"/>
      <c r="O12" s="77">
        <v>125187</v>
      </c>
      <c r="P12" s="77"/>
      <c r="Q12" s="77">
        <v>0</v>
      </c>
      <c r="R12" s="77"/>
      <c r="S12" s="77">
        <v>0</v>
      </c>
      <c r="T12" s="77"/>
      <c r="U12" s="77">
        <v>0</v>
      </c>
      <c r="V12" s="77"/>
      <c r="W12" s="77">
        <v>0</v>
      </c>
      <c r="X12" s="77"/>
      <c r="Y12" s="77">
        <v>0</v>
      </c>
      <c r="Z12" s="77"/>
      <c r="AA12" s="77">
        <v>0</v>
      </c>
      <c r="AB12" s="77"/>
      <c r="AC12" s="77">
        <v>12000</v>
      </c>
      <c r="AD12" s="77"/>
      <c r="AE12" s="77">
        <v>0</v>
      </c>
      <c r="AF12" s="77"/>
      <c r="AG12" s="77">
        <v>0</v>
      </c>
      <c r="AH12" s="77"/>
      <c r="AI12" s="77">
        <f t="shared" si="0"/>
        <v>863563.79</v>
      </c>
      <c r="AJ12" s="37"/>
      <c r="AK12" s="15" t="str">
        <f>'Gen Rev'!A12</f>
        <v>Addyston</v>
      </c>
      <c r="AL12" s="15" t="str">
        <f t="shared" si="1"/>
        <v>Addyston</v>
      </c>
      <c r="AM12" s="15" t="b">
        <f t="shared" si="2"/>
        <v>1</v>
      </c>
      <c r="AN12" s="37"/>
      <c r="AO12" s="37"/>
      <c r="AP12" s="37"/>
    </row>
    <row r="13" spans="1:42" s="31" customFormat="1" ht="12" customHeight="1" x14ac:dyDescent="0.2">
      <c r="A13" s="1" t="s">
        <v>210</v>
      </c>
      <c r="B13" s="1"/>
      <c r="C13" s="1" t="s">
        <v>799</v>
      </c>
      <c r="D13" s="15"/>
      <c r="E13" s="77">
        <v>29766.400000000001</v>
      </c>
      <c r="F13" s="77"/>
      <c r="G13" s="77">
        <v>0</v>
      </c>
      <c r="H13" s="77"/>
      <c r="I13" s="77">
        <v>40344.839999999997</v>
      </c>
      <c r="J13" s="77"/>
      <c r="K13" s="77">
        <v>0</v>
      </c>
      <c r="L13" s="77"/>
      <c r="M13" s="77">
        <v>0</v>
      </c>
      <c r="N13" s="77"/>
      <c r="O13" s="77">
        <v>3877.16</v>
      </c>
      <c r="P13" s="77"/>
      <c r="Q13" s="77">
        <v>135.01</v>
      </c>
      <c r="R13" s="77"/>
      <c r="S13" s="77">
        <v>11862.38</v>
      </c>
      <c r="T13" s="77"/>
      <c r="U13" s="77">
        <v>0</v>
      </c>
      <c r="V13" s="77"/>
      <c r="W13" s="77">
        <v>0</v>
      </c>
      <c r="X13" s="77"/>
      <c r="Y13" s="77">
        <v>0</v>
      </c>
      <c r="Z13" s="77"/>
      <c r="AA13" s="77">
        <v>0</v>
      </c>
      <c r="AB13" s="77"/>
      <c r="AC13" s="77">
        <v>0</v>
      </c>
      <c r="AD13" s="77"/>
      <c r="AE13" s="77">
        <v>0</v>
      </c>
      <c r="AF13" s="77"/>
      <c r="AG13" s="77">
        <v>0</v>
      </c>
      <c r="AH13" s="77"/>
      <c r="AI13" s="77">
        <f t="shared" si="0"/>
        <v>85985.79</v>
      </c>
      <c r="AJ13" s="24"/>
      <c r="AK13" s="15" t="str">
        <f>'Gen Rev'!A13</f>
        <v>Adelphi</v>
      </c>
      <c r="AL13" s="15" t="str">
        <f t="shared" si="1"/>
        <v>Adelphi</v>
      </c>
      <c r="AM13" s="15" t="b">
        <f t="shared" si="2"/>
        <v>1</v>
      </c>
    </row>
    <row r="14" spans="1:42" ht="12" customHeight="1" x14ac:dyDescent="0.2">
      <c r="A14" s="15" t="s">
        <v>876</v>
      </c>
      <c r="C14" s="15" t="s">
        <v>420</v>
      </c>
      <c r="E14" s="77">
        <v>103343</v>
      </c>
      <c r="F14" s="77"/>
      <c r="G14" s="77">
        <v>0</v>
      </c>
      <c r="H14" s="77"/>
      <c r="I14" s="77">
        <v>68408</v>
      </c>
      <c r="J14" s="77"/>
      <c r="K14" s="77">
        <v>0</v>
      </c>
      <c r="L14" s="77"/>
      <c r="M14" s="77">
        <v>0</v>
      </c>
      <c r="N14" s="77"/>
      <c r="O14" s="77">
        <v>17045</v>
      </c>
      <c r="P14" s="77"/>
      <c r="Q14" s="77">
        <v>0</v>
      </c>
      <c r="R14" s="77"/>
      <c r="S14" s="77">
        <v>10936</v>
      </c>
      <c r="T14" s="77"/>
      <c r="U14" s="77">
        <v>0</v>
      </c>
      <c r="V14" s="77"/>
      <c r="W14" s="77">
        <v>0</v>
      </c>
      <c r="X14" s="77"/>
      <c r="Y14" s="77">
        <v>0</v>
      </c>
      <c r="Z14" s="77"/>
      <c r="AA14" s="77">
        <v>81009</v>
      </c>
      <c r="AB14" s="77"/>
      <c r="AC14" s="77">
        <v>0</v>
      </c>
      <c r="AD14" s="77"/>
      <c r="AE14" s="77">
        <v>0</v>
      </c>
      <c r="AF14" s="77"/>
      <c r="AG14" s="77">
        <v>0</v>
      </c>
      <c r="AH14" s="77"/>
      <c r="AI14" s="77">
        <f t="shared" si="0"/>
        <v>280741</v>
      </c>
      <c r="AJ14" s="24"/>
      <c r="AK14" s="15" t="str">
        <f>'Gen Rev'!A14</f>
        <v>Adena</v>
      </c>
      <c r="AL14" s="15" t="str">
        <f t="shared" si="1"/>
        <v>Adena</v>
      </c>
      <c r="AM14" s="15" t="b">
        <f t="shared" si="2"/>
        <v>1</v>
      </c>
      <c r="AN14" s="31"/>
      <c r="AO14" s="31"/>
      <c r="AP14" s="31"/>
    </row>
    <row r="15" spans="1:42" ht="12" customHeight="1" x14ac:dyDescent="0.2">
      <c r="A15" s="1" t="s">
        <v>270</v>
      </c>
      <c r="B15" s="1"/>
      <c r="C15" s="1" t="s">
        <v>271</v>
      </c>
      <c r="D15" s="37"/>
      <c r="E15" s="77">
        <v>101601.24</v>
      </c>
      <c r="F15" s="77"/>
      <c r="G15" s="77">
        <v>0</v>
      </c>
      <c r="H15" s="77"/>
      <c r="I15" s="77">
        <v>77975.87</v>
      </c>
      <c r="J15" s="77"/>
      <c r="K15" s="77">
        <v>0</v>
      </c>
      <c r="L15" s="77"/>
      <c r="M15" s="77">
        <v>0</v>
      </c>
      <c r="N15" s="77"/>
      <c r="O15" s="77">
        <v>15971.04</v>
      </c>
      <c r="P15" s="77"/>
      <c r="Q15" s="77">
        <v>1232.78</v>
      </c>
      <c r="R15" s="77"/>
      <c r="S15" s="77">
        <v>8481.91</v>
      </c>
      <c r="T15" s="77"/>
      <c r="U15" s="77">
        <v>0</v>
      </c>
      <c r="V15" s="77"/>
      <c r="W15" s="77">
        <v>0</v>
      </c>
      <c r="X15" s="77"/>
      <c r="Y15" s="77">
        <v>0</v>
      </c>
      <c r="Z15" s="77"/>
      <c r="AA15" s="77">
        <v>12502.36</v>
      </c>
      <c r="AB15" s="77"/>
      <c r="AC15" s="77">
        <v>10000</v>
      </c>
      <c r="AD15" s="77"/>
      <c r="AE15" s="77">
        <v>0</v>
      </c>
      <c r="AF15" s="77"/>
      <c r="AG15" s="77">
        <v>0</v>
      </c>
      <c r="AH15" s="77"/>
      <c r="AI15" s="77">
        <f t="shared" si="0"/>
        <v>227765.2</v>
      </c>
      <c r="AJ15" s="37"/>
      <c r="AK15" s="15" t="str">
        <f>'Gen Rev'!A15</f>
        <v>Albany</v>
      </c>
      <c r="AL15" s="15" t="str">
        <f t="shared" si="1"/>
        <v>Albany</v>
      </c>
      <c r="AM15" s="15" t="b">
        <f t="shared" si="2"/>
        <v>1</v>
      </c>
      <c r="AN15" s="37"/>
      <c r="AO15" s="37"/>
      <c r="AP15" s="37"/>
    </row>
    <row r="16" spans="1:42" ht="12" customHeight="1" x14ac:dyDescent="0.2">
      <c r="A16" s="1" t="s">
        <v>129</v>
      </c>
      <c r="B16" s="1"/>
      <c r="C16" s="1" t="s">
        <v>774</v>
      </c>
      <c r="E16" s="77">
        <v>45166.09</v>
      </c>
      <c r="F16" s="77"/>
      <c r="G16" s="77">
        <v>0</v>
      </c>
      <c r="H16" s="77"/>
      <c r="I16" s="77">
        <v>136852.48000000001</v>
      </c>
      <c r="J16" s="77"/>
      <c r="K16" s="77">
        <v>0</v>
      </c>
      <c r="L16" s="77"/>
      <c r="M16" s="77">
        <v>46.35</v>
      </c>
      <c r="N16" s="77"/>
      <c r="O16" s="77">
        <v>2329.15</v>
      </c>
      <c r="P16" s="77"/>
      <c r="Q16" s="77">
        <v>162.04</v>
      </c>
      <c r="R16" s="77"/>
      <c r="S16" s="77">
        <v>2633.81</v>
      </c>
      <c r="T16" s="77"/>
      <c r="U16" s="77">
        <v>0</v>
      </c>
      <c r="V16" s="77"/>
      <c r="W16" s="77">
        <v>0</v>
      </c>
      <c r="X16" s="77"/>
      <c r="Y16" s="77">
        <v>0</v>
      </c>
      <c r="Z16" s="77"/>
      <c r="AA16" s="77">
        <v>12500</v>
      </c>
      <c r="AB16" s="77"/>
      <c r="AC16" s="77">
        <v>0</v>
      </c>
      <c r="AD16" s="77"/>
      <c r="AE16" s="77">
        <v>0.21</v>
      </c>
      <c r="AF16" s="77"/>
      <c r="AG16" s="77">
        <v>0</v>
      </c>
      <c r="AH16" s="77"/>
      <c r="AI16" s="77">
        <f t="shared" si="0"/>
        <v>199690.13</v>
      </c>
      <c r="AJ16" s="24"/>
      <c r="AK16" s="15" t="str">
        <f>'Gen Rev'!A16</f>
        <v>Alexandria</v>
      </c>
      <c r="AL16" s="15" t="str">
        <f t="shared" si="1"/>
        <v>Alexandria</v>
      </c>
      <c r="AM16" s="15" t="b">
        <f t="shared" si="2"/>
        <v>1</v>
      </c>
      <c r="AN16" s="31"/>
      <c r="AO16" s="31"/>
      <c r="AP16" s="31"/>
    </row>
    <row r="17" spans="1:42" s="31" customFormat="1" ht="12" customHeight="1" x14ac:dyDescent="0.2">
      <c r="A17" s="1" t="s">
        <v>704</v>
      </c>
      <c r="B17" s="1"/>
      <c r="C17" s="1" t="s">
        <v>396</v>
      </c>
      <c r="D17" s="15"/>
      <c r="E17" s="77">
        <v>22100.799999999999</v>
      </c>
      <c r="F17" s="77"/>
      <c r="G17" s="77">
        <v>56805.1</v>
      </c>
      <c r="H17" s="77"/>
      <c r="I17" s="77">
        <v>51291.72</v>
      </c>
      <c r="J17" s="77"/>
      <c r="K17" s="77">
        <v>19387.91</v>
      </c>
      <c r="L17" s="77"/>
      <c r="M17" s="77">
        <v>0</v>
      </c>
      <c r="N17" s="77"/>
      <c r="O17" s="77">
        <v>3655.44</v>
      </c>
      <c r="P17" s="77"/>
      <c r="Q17" s="77">
        <v>166.72</v>
      </c>
      <c r="R17" s="77"/>
      <c r="S17" s="77">
        <v>4105.37</v>
      </c>
      <c r="T17" s="77"/>
      <c r="U17" s="77">
        <v>0</v>
      </c>
      <c r="V17" s="77"/>
      <c r="W17" s="77">
        <v>0</v>
      </c>
      <c r="X17" s="77"/>
      <c r="Y17" s="77">
        <v>5500</v>
      </c>
      <c r="Z17" s="77"/>
      <c r="AA17" s="77">
        <v>0</v>
      </c>
      <c r="AB17" s="77"/>
      <c r="AC17" s="77">
        <v>0</v>
      </c>
      <c r="AD17" s="77"/>
      <c r="AE17" s="77">
        <v>0</v>
      </c>
      <c r="AF17" s="77"/>
      <c r="AG17" s="77">
        <v>0</v>
      </c>
      <c r="AH17" s="77"/>
      <c r="AI17" s="77">
        <f t="shared" si="0"/>
        <v>163013.06</v>
      </c>
      <c r="AJ17" s="24"/>
      <c r="AK17" s="15" t="str">
        <f>'Gen Rev'!A17</f>
        <v>Alger</v>
      </c>
      <c r="AL17" s="15" t="str">
        <f t="shared" si="1"/>
        <v>Alger</v>
      </c>
      <c r="AM17" s="15" t="b">
        <f t="shared" si="2"/>
        <v>1</v>
      </c>
    </row>
    <row r="18" spans="1:42" ht="12" hidden="1" customHeight="1" x14ac:dyDescent="0.2">
      <c r="A18" s="1" t="s">
        <v>251</v>
      </c>
      <c r="B18" s="1"/>
      <c r="C18" s="1" t="s">
        <v>596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>
        <f t="shared" si="0"/>
        <v>0</v>
      </c>
      <c r="AJ18" s="24"/>
      <c r="AK18" s="15" t="str">
        <f>'Gen Rev'!A18</f>
        <v>Alvordton</v>
      </c>
      <c r="AL18" s="15" t="str">
        <f t="shared" si="1"/>
        <v>Alvordton</v>
      </c>
      <c r="AM18" s="15" t="b">
        <f t="shared" si="2"/>
        <v>1</v>
      </c>
      <c r="AN18" s="32"/>
      <c r="AO18" s="32"/>
      <c r="AP18" s="32"/>
    </row>
    <row r="19" spans="1:42" s="31" customFormat="1" ht="12" customHeight="1" x14ac:dyDescent="0.2">
      <c r="A19" s="1" t="s">
        <v>665</v>
      </c>
      <c r="B19" s="1"/>
      <c r="C19" s="1" t="s">
        <v>350</v>
      </c>
      <c r="D19" s="15"/>
      <c r="E19" s="77">
        <v>62066.55</v>
      </c>
      <c r="F19" s="77"/>
      <c r="G19" s="77">
        <v>0</v>
      </c>
      <c r="H19" s="77"/>
      <c r="I19" s="77">
        <v>65801.72</v>
      </c>
      <c r="J19" s="77"/>
      <c r="K19" s="77">
        <v>850</v>
      </c>
      <c r="L19" s="77"/>
      <c r="M19" s="77">
        <v>65306.58</v>
      </c>
      <c r="N19" s="77"/>
      <c r="O19" s="77">
        <v>2845</v>
      </c>
      <c r="P19" s="77"/>
      <c r="Q19" s="77">
        <v>762.09</v>
      </c>
      <c r="R19" s="77"/>
      <c r="S19" s="77">
        <v>4329.62</v>
      </c>
      <c r="T19" s="77"/>
      <c r="U19" s="77">
        <v>0</v>
      </c>
      <c r="V19" s="77"/>
      <c r="W19" s="77">
        <v>0</v>
      </c>
      <c r="X19" s="77"/>
      <c r="Y19" s="77">
        <v>0</v>
      </c>
      <c r="Z19" s="77"/>
      <c r="AA19" s="77">
        <v>0</v>
      </c>
      <c r="AB19" s="77"/>
      <c r="AC19" s="77">
        <v>0</v>
      </c>
      <c r="AD19" s="77"/>
      <c r="AE19" s="77">
        <v>0</v>
      </c>
      <c r="AF19" s="77"/>
      <c r="AG19" s="77">
        <v>0</v>
      </c>
      <c r="AH19" s="77"/>
      <c r="AI19" s="77">
        <f t="shared" si="0"/>
        <v>201961.56</v>
      </c>
      <c r="AJ19" s="24"/>
      <c r="AK19" s="15" t="str">
        <f>'Gen Rev'!A19</f>
        <v>Amanda</v>
      </c>
      <c r="AL19" s="15" t="str">
        <f t="shared" si="1"/>
        <v>Amanda</v>
      </c>
      <c r="AM19" s="15" t="b">
        <f t="shared" si="2"/>
        <v>1</v>
      </c>
    </row>
    <row r="20" spans="1:42" s="31" customFormat="1" ht="12" customHeight="1" x14ac:dyDescent="0.2">
      <c r="A20" s="15" t="s">
        <v>377</v>
      </c>
      <c r="B20" s="15"/>
      <c r="C20" s="15" t="s">
        <v>378</v>
      </c>
      <c r="D20" s="15"/>
      <c r="E20" s="77">
        <v>1021062</v>
      </c>
      <c r="F20" s="77"/>
      <c r="G20" s="77">
        <v>2665947</v>
      </c>
      <c r="H20" s="77"/>
      <c r="I20" s="77">
        <v>5951710</v>
      </c>
      <c r="J20" s="77"/>
      <c r="K20" s="77">
        <v>0</v>
      </c>
      <c r="L20" s="77"/>
      <c r="M20" s="77">
        <v>319700</v>
      </c>
      <c r="N20" s="77"/>
      <c r="O20" s="77">
        <v>242228</v>
      </c>
      <c r="P20" s="77"/>
      <c r="Q20" s="77">
        <v>10880</v>
      </c>
      <c r="R20" s="77"/>
      <c r="S20" s="77">
        <v>26643</v>
      </c>
      <c r="T20" s="77"/>
      <c r="U20" s="77">
        <v>0</v>
      </c>
      <c r="V20" s="77"/>
      <c r="W20" s="77">
        <v>0</v>
      </c>
      <c r="X20" s="77"/>
      <c r="Y20" s="77">
        <v>0</v>
      </c>
      <c r="Z20" s="77"/>
      <c r="AA20" s="77">
        <v>6328445</v>
      </c>
      <c r="AB20" s="77"/>
      <c r="AC20" s="77">
        <v>0</v>
      </c>
      <c r="AD20" s="77"/>
      <c r="AE20" s="77">
        <v>0</v>
      </c>
      <c r="AF20" s="77"/>
      <c r="AG20" s="77">
        <v>0</v>
      </c>
      <c r="AH20" s="77"/>
      <c r="AI20" s="77">
        <f t="shared" si="0"/>
        <v>16566615</v>
      </c>
      <c r="AJ20" s="24"/>
      <c r="AK20" s="15" t="str">
        <f>'Gen Rev'!A20</f>
        <v>Amberley</v>
      </c>
      <c r="AL20" s="15" t="str">
        <f t="shared" si="1"/>
        <v>Amberley</v>
      </c>
      <c r="AM20" s="15" t="b">
        <f t="shared" si="2"/>
        <v>1</v>
      </c>
    </row>
    <row r="21" spans="1:42" ht="12" customHeight="1" x14ac:dyDescent="0.2">
      <c r="A21" s="1" t="s">
        <v>36</v>
      </c>
      <c r="B21" s="1"/>
      <c r="C21" s="1" t="s">
        <v>747</v>
      </c>
      <c r="E21" s="77">
        <v>953402.97</v>
      </c>
      <c r="F21" s="77"/>
      <c r="G21" s="77">
        <v>0</v>
      </c>
      <c r="H21" s="77"/>
      <c r="I21" s="77">
        <v>948874.15</v>
      </c>
      <c r="J21" s="77"/>
      <c r="K21" s="77">
        <v>1145.25</v>
      </c>
      <c r="L21" s="77"/>
      <c r="M21" s="77">
        <v>6715.48</v>
      </c>
      <c r="N21" s="77"/>
      <c r="O21" s="77">
        <v>134914.64000000001</v>
      </c>
      <c r="P21" s="77"/>
      <c r="Q21" s="77">
        <v>1406.78</v>
      </c>
      <c r="R21" s="77"/>
      <c r="S21" s="77">
        <v>40818.65</v>
      </c>
      <c r="T21" s="77"/>
      <c r="U21" s="77">
        <v>0</v>
      </c>
      <c r="V21" s="77"/>
      <c r="W21" s="77">
        <v>550080.5</v>
      </c>
      <c r="X21" s="77"/>
      <c r="Y21" s="77">
        <v>0</v>
      </c>
      <c r="Z21" s="77"/>
      <c r="AA21" s="77">
        <v>0</v>
      </c>
      <c r="AB21" s="77"/>
      <c r="AC21" s="77">
        <v>215400</v>
      </c>
      <c r="AD21" s="77"/>
      <c r="AE21" s="77">
        <v>0</v>
      </c>
      <c r="AF21" s="77"/>
      <c r="AG21" s="77">
        <v>0</v>
      </c>
      <c r="AH21" s="77"/>
      <c r="AI21" s="77">
        <f t="shared" si="0"/>
        <v>2852758.42</v>
      </c>
      <c r="AJ21" s="24"/>
      <c r="AK21" s="15" t="str">
        <f>'Gen Rev'!A21</f>
        <v>Amelia</v>
      </c>
      <c r="AL21" s="15" t="str">
        <f t="shared" si="1"/>
        <v>Amelia</v>
      </c>
      <c r="AM21" s="15" t="b">
        <f t="shared" si="2"/>
        <v>1</v>
      </c>
      <c r="AN21" s="31"/>
      <c r="AO21" s="31"/>
      <c r="AP21" s="31"/>
    </row>
    <row r="22" spans="1:42" ht="12" customHeight="1" x14ac:dyDescent="0.2">
      <c r="A22" s="1" t="s">
        <v>9</v>
      </c>
      <c r="B22" s="1"/>
      <c r="C22" s="1" t="s">
        <v>739</v>
      </c>
      <c r="E22" s="77">
        <v>37240.92</v>
      </c>
      <c r="F22" s="77"/>
      <c r="G22" s="77">
        <v>0</v>
      </c>
      <c r="H22" s="77"/>
      <c r="I22" s="77">
        <v>25414.91</v>
      </c>
      <c r="J22" s="77"/>
      <c r="K22" s="77">
        <v>0</v>
      </c>
      <c r="L22" s="77"/>
      <c r="M22" s="77">
        <v>0</v>
      </c>
      <c r="N22" s="77"/>
      <c r="O22" s="77">
        <v>4743.04</v>
      </c>
      <c r="P22" s="77"/>
      <c r="Q22" s="77">
        <v>94.86</v>
      </c>
      <c r="R22" s="77"/>
      <c r="S22" s="77">
        <v>175</v>
      </c>
      <c r="T22" s="77"/>
      <c r="U22" s="77">
        <v>0</v>
      </c>
      <c r="V22" s="77"/>
      <c r="W22" s="77">
        <v>0</v>
      </c>
      <c r="X22" s="77"/>
      <c r="Y22" s="77">
        <v>0</v>
      </c>
      <c r="Z22" s="77"/>
      <c r="AA22" s="77">
        <v>7450</v>
      </c>
      <c r="AB22" s="77"/>
      <c r="AC22" s="77">
        <v>0</v>
      </c>
      <c r="AD22" s="77"/>
      <c r="AE22" s="77">
        <v>0</v>
      </c>
      <c r="AF22" s="77"/>
      <c r="AG22" s="77">
        <v>0</v>
      </c>
      <c r="AH22" s="77"/>
      <c r="AI22" s="77">
        <f t="shared" si="0"/>
        <v>75118.73</v>
      </c>
      <c r="AJ22" s="24"/>
      <c r="AK22" s="15" t="str">
        <f>'Gen Rev'!A22</f>
        <v>Amesville</v>
      </c>
      <c r="AL22" s="15" t="str">
        <f t="shared" si="1"/>
        <v>Amesville</v>
      </c>
      <c r="AM22" s="15" t="b">
        <f t="shared" si="2"/>
        <v>1</v>
      </c>
    </row>
    <row r="23" spans="1:42" ht="12" customHeight="1" x14ac:dyDescent="0.2">
      <c r="A23" s="15" t="s">
        <v>421</v>
      </c>
      <c r="C23" s="15" t="s">
        <v>420</v>
      </c>
      <c r="E23" s="77">
        <f>17727+14293</f>
        <v>32020</v>
      </c>
      <c r="F23" s="77"/>
      <c r="G23" s="77">
        <v>0</v>
      </c>
      <c r="H23" s="77"/>
      <c r="I23" s="77">
        <f>18938+28711</f>
        <v>47649</v>
      </c>
      <c r="J23" s="77"/>
      <c r="K23" s="77">
        <v>0</v>
      </c>
      <c r="L23" s="77"/>
      <c r="M23" s="77">
        <v>0</v>
      </c>
      <c r="N23" s="77"/>
      <c r="O23" s="77">
        <v>1315</v>
      </c>
      <c r="P23" s="77"/>
      <c r="Q23" s="77">
        <v>108</v>
      </c>
      <c r="R23" s="77"/>
      <c r="S23" s="77">
        <f>3333+20000</f>
        <v>23333</v>
      </c>
      <c r="T23" s="77"/>
      <c r="U23" s="77">
        <v>0</v>
      </c>
      <c r="V23" s="77"/>
      <c r="W23" s="77">
        <v>0</v>
      </c>
      <c r="X23" s="77"/>
      <c r="Y23" s="77">
        <v>0</v>
      </c>
      <c r="Z23" s="77"/>
      <c r="AA23" s="77">
        <v>500</v>
      </c>
      <c r="AB23" s="77"/>
      <c r="AC23" s="77">
        <v>0</v>
      </c>
      <c r="AD23" s="77"/>
      <c r="AE23" s="77">
        <v>0</v>
      </c>
      <c r="AF23" s="77"/>
      <c r="AG23" s="77">
        <v>0</v>
      </c>
      <c r="AH23" s="77"/>
      <c r="AI23" s="77">
        <f t="shared" si="0"/>
        <v>104925</v>
      </c>
      <c r="AJ23" s="24"/>
      <c r="AK23" s="15" t="str">
        <f>'Gen Rev'!A23</f>
        <v>Amsterdam</v>
      </c>
      <c r="AL23" s="15" t="str">
        <f t="shared" si="1"/>
        <v>Amsterdam</v>
      </c>
      <c r="AM23" s="15" t="b">
        <f t="shared" si="2"/>
        <v>1</v>
      </c>
    </row>
    <row r="24" spans="1:42" ht="12" customHeight="1" x14ac:dyDescent="0.2">
      <c r="A24" s="1" t="s">
        <v>915</v>
      </c>
      <c r="B24" s="1"/>
      <c r="C24" s="1" t="s">
        <v>671</v>
      </c>
      <c r="E24" s="77">
        <v>185737.69</v>
      </c>
      <c r="F24" s="77"/>
      <c r="G24" s="77">
        <v>443505.2</v>
      </c>
      <c r="H24" s="77"/>
      <c r="I24" s="77">
        <v>106494.62</v>
      </c>
      <c r="J24" s="77"/>
      <c r="K24" s="77">
        <v>1377</v>
      </c>
      <c r="L24" s="77"/>
      <c r="M24" s="77">
        <v>4107.66</v>
      </c>
      <c r="N24" s="77"/>
      <c r="O24" s="77">
        <v>20094.63</v>
      </c>
      <c r="P24" s="77"/>
      <c r="Q24" s="77">
        <v>654.41999999999996</v>
      </c>
      <c r="R24" s="77"/>
      <c r="S24" s="77">
        <v>785.6</v>
      </c>
      <c r="T24" s="77"/>
      <c r="U24" s="77">
        <v>0</v>
      </c>
      <c r="V24" s="77"/>
      <c r="W24" s="77">
        <v>0</v>
      </c>
      <c r="X24" s="77"/>
      <c r="Y24" s="77">
        <v>0</v>
      </c>
      <c r="Z24" s="77"/>
      <c r="AA24" s="77">
        <v>0</v>
      </c>
      <c r="AB24" s="77"/>
      <c r="AC24" s="77">
        <v>2362.58</v>
      </c>
      <c r="AD24" s="77"/>
      <c r="AE24" s="77">
        <v>0</v>
      </c>
      <c r="AF24" s="77"/>
      <c r="AG24" s="77">
        <v>0</v>
      </c>
      <c r="AH24" s="77"/>
      <c r="AI24" s="77">
        <f t="shared" si="0"/>
        <v>765119.4</v>
      </c>
      <c r="AJ24" s="24"/>
      <c r="AK24" s="15" t="str">
        <f>'Gen Rev'!A24</f>
        <v>Andover</v>
      </c>
      <c r="AL24" s="15" t="str">
        <f t="shared" si="1"/>
        <v>Andover</v>
      </c>
      <c r="AM24" s="15" t="b">
        <f t="shared" si="2"/>
        <v>1</v>
      </c>
      <c r="AN24" s="31"/>
      <c r="AO24" s="31"/>
      <c r="AP24" s="31"/>
    </row>
    <row r="25" spans="1:42" ht="12" customHeight="1" x14ac:dyDescent="0.2">
      <c r="A25" s="1" t="s">
        <v>221</v>
      </c>
      <c r="B25" s="1"/>
      <c r="C25" s="1" t="s">
        <v>803</v>
      </c>
      <c r="E25" s="77">
        <v>74245.600000000006</v>
      </c>
      <c r="F25" s="77"/>
      <c r="G25" s="77">
        <v>568728.21</v>
      </c>
      <c r="H25" s="77"/>
      <c r="I25" s="77">
        <v>108391.63</v>
      </c>
      <c r="J25" s="77"/>
      <c r="K25" s="77">
        <v>41476.65</v>
      </c>
      <c r="L25" s="77"/>
      <c r="M25" s="77">
        <v>84568.66</v>
      </c>
      <c r="N25" s="77"/>
      <c r="O25" s="77">
        <v>33126.839999999997</v>
      </c>
      <c r="P25" s="77"/>
      <c r="Q25" s="77">
        <v>10.78</v>
      </c>
      <c r="R25" s="77"/>
      <c r="S25" s="77">
        <v>48638.99</v>
      </c>
      <c r="T25" s="77"/>
      <c r="U25" s="77">
        <v>0</v>
      </c>
      <c r="V25" s="77"/>
      <c r="W25" s="77">
        <v>0</v>
      </c>
      <c r="X25" s="77"/>
      <c r="Y25" s="77">
        <v>0</v>
      </c>
      <c r="Z25" s="77"/>
      <c r="AA25" s="77">
        <v>369920.72</v>
      </c>
      <c r="AB25" s="77"/>
      <c r="AC25" s="77">
        <v>0</v>
      </c>
      <c r="AD25" s="77"/>
      <c r="AE25" s="77">
        <v>0</v>
      </c>
      <c r="AF25" s="77"/>
      <c r="AG25" s="77">
        <f>12447+371.58</f>
        <v>12818.58</v>
      </c>
      <c r="AH25" s="77"/>
      <c r="AI25" s="77">
        <f t="shared" si="0"/>
        <v>1341926.6600000001</v>
      </c>
      <c r="AJ25" s="24"/>
      <c r="AK25" s="15" t="str">
        <f>'Gen Rev'!A25</f>
        <v>Anna</v>
      </c>
      <c r="AL25" s="15" t="str">
        <f t="shared" si="1"/>
        <v>Anna</v>
      </c>
      <c r="AM25" s="15" t="b">
        <f t="shared" si="2"/>
        <v>1</v>
      </c>
    </row>
    <row r="26" spans="1:42" ht="12" customHeight="1" x14ac:dyDescent="0.2">
      <c r="A26" s="15" t="s">
        <v>328</v>
      </c>
      <c r="C26" s="15" t="s">
        <v>329</v>
      </c>
      <c r="E26" s="77">
        <v>72983</v>
      </c>
      <c r="F26" s="77"/>
      <c r="G26" s="77">
        <v>120106</v>
      </c>
      <c r="H26" s="77"/>
      <c r="I26" s="77">
        <v>113245</v>
      </c>
      <c r="J26" s="77"/>
      <c r="K26" s="77">
        <v>29816</v>
      </c>
      <c r="L26" s="77"/>
      <c r="M26" s="77">
        <v>63177</v>
      </c>
      <c r="N26" s="77"/>
      <c r="O26" s="77">
        <v>577</v>
      </c>
      <c r="P26" s="77"/>
      <c r="Q26" s="77">
        <v>366</v>
      </c>
      <c r="R26" s="77"/>
      <c r="S26" s="77">
        <v>60526</v>
      </c>
      <c r="T26" s="77"/>
      <c r="U26" s="77">
        <v>0</v>
      </c>
      <c r="V26" s="77"/>
      <c r="W26" s="77">
        <v>0</v>
      </c>
      <c r="X26" s="77"/>
      <c r="Y26" s="77">
        <v>0</v>
      </c>
      <c r="Z26" s="77"/>
      <c r="AA26" s="77">
        <v>73935</v>
      </c>
      <c r="AB26" s="77"/>
      <c r="AC26" s="77">
        <v>0</v>
      </c>
      <c r="AD26" s="77"/>
      <c r="AE26" s="77">
        <v>359066</v>
      </c>
      <c r="AF26" s="77"/>
      <c r="AG26" s="77">
        <v>0</v>
      </c>
      <c r="AH26" s="77"/>
      <c r="AI26" s="77">
        <f t="shared" si="0"/>
        <v>893797</v>
      </c>
      <c r="AJ26" s="24"/>
      <c r="AK26" s="15" t="str">
        <f>'Gen Rev'!A26</f>
        <v>Ansonia</v>
      </c>
      <c r="AL26" s="15" t="str">
        <f t="shared" si="1"/>
        <v>Ansonia</v>
      </c>
      <c r="AM26" s="15" t="b">
        <f t="shared" si="2"/>
        <v>1</v>
      </c>
      <c r="AN26" s="30"/>
      <c r="AO26" s="30"/>
      <c r="AP26" s="30"/>
    </row>
    <row r="27" spans="1:42" s="31" customFormat="1" ht="12" customHeight="1" x14ac:dyDescent="0.2">
      <c r="A27" s="15" t="s">
        <v>473</v>
      </c>
      <c r="B27" s="15"/>
      <c r="C27" s="15" t="s">
        <v>474</v>
      </c>
      <c r="D27" s="15"/>
      <c r="E27" s="77">
        <v>3699</v>
      </c>
      <c r="F27" s="77"/>
      <c r="G27" s="77">
        <v>0</v>
      </c>
      <c r="H27" s="77"/>
      <c r="I27" s="77">
        <v>7379</v>
      </c>
      <c r="J27" s="77"/>
      <c r="K27" s="77">
        <v>0</v>
      </c>
      <c r="L27" s="77"/>
      <c r="M27" s="77">
        <v>0</v>
      </c>
      <c r="N27" s="77"/>
      <c r="O27" s="77">
        <v>0</v>
      </c>
      <c r="P27" s="77"/>
      <c r="Q27" s="77">
        <v>212</v>
      </c>
      <c r="R27" s="77"/>
      <c r="S27" s="77">
        <v>2545</v>
      </c>
      <c r="T27" s="77"/>
      <c r="U27" s="77">
        <v>0</v>
      </c>
      <c r="V27" s="77"/>
      <c r="W27" s="77">
        <v>0</v>
      </c>
      <c r="X27" s="77"/>
      <c r="Y27" s="77">
        <v>0</v>
      </c>
      <c r="Z27" s="77"/>
      <c r="AA27" s="77">
        <v>0</v>
      </c>
      <c r="AB27" s="77"/>
      <c r="AC27" s="77">
        <v>0</v>
      </c>
      <c r="AD27" s="77"/>
      <c r="AE27" s="77">
        <v>0</v>
      </c>
      <c r="AF27" s="77"/>
      <c r="AG27" s="77">
        <v>0</v>
      </c>
      <c r="AH27" s="77"/>
      <c r="AI27" s="77">
        <f t="shared" si="0"/>
        <v>13835</v>
      </c>
      <c r="AJ27" s="24"/>
      <c r="AK27" s="15" t="str">
        <f>'Gen Rev'!A27</f>
        <v>Antioch</v>
      </c>
      <c r="AL27" s="15" t="str">
        <f t="shared" si="1"/>
        <v>Antioch</v>
      </c>
      <c r="AM27" s="15" t="b">
        <f t="shared" si="2"/>
        <v>1</v>
      </c>
    </row>
    <row r="28" spans="1:42" s="31" customFormat="1" ht="12" customHeight="1" x14ac:dyDescent="0.2">
      <c r="A28" s="15" t="s">
        <v>495</v>
      </c>
      <c r="B28" s="15"/>
      <c r="C28" s="15" t="s">
        <v>496</v>
      </c>
      <c r="D28" s="15"/>
      <c r="E28" s="77">
        <v>176418</v>
      </c>
      <c r="F28" s="77"/>
      <c r="G28" s="77">
        <v>257597</v>
      </c>
      <c r="H28" s="77"/>
      <c r="I28" s="77">
        <v>413235</v>
      </c>
      <c r="J28" s="77"/>
      <c r="K28" s="77">
        <v>15136</v>
      </c>
      <c r="L28" s="77"/>
      <c r="M28" s="77">
        <v>152111</v>
      </c>
      <c r="N28" s="77"/>
      <c r="O28" s="77">
        <v>27234</v>
      </c>
      <c r="P28" s="77"/>
      <c r="Q28" s="77">
        <v>3811</v>
      </c>
      <c r="R28" s="77"/>
      <c r="S28" s="77">
        <v>28952</v>
      </c>
      <c r="T28" s="77"/>
      <c r="U28" s="77">
        <v>0</v>
      </c>
      <c r="V28" s="77"/>
      <c r="W28" s="77">
        <v>858</v>
      </c>
      <c r="X28" s="77"/>
      <c r="Y28" s="77">
        <v>0</v>
      </c>
      <c r="Z28" s="77"/>
      <c r="AA28" s="77">
        <v>110000</v>
      </c>
      <c r="AB28" s="77"/>
      <c r="AC28" s="77">
        <v>7139</v>
      </c>
      <c r="AD28" s="77"/>
      <c r="AE28" s="77">
        <v>0</v>
      </c>
      <c r="AF28" s="77"/>
      <c r="AG28" s="77">
        <v>0</v>
      </c>
      <c r="AH28" s="77"/>
      <c r="AI28" s="77">
        <f t="shared" si="0"/>
        <v>1192491</v>
      </c>
      <c r="AJ28" s="24"/>
      <c r="AK28" s="15" t="str">
        <f>'Gen Rev'!A28</f>
        <v>Antwerp</v>
      </c>
      <c r="AL28" s="15" t="str">
        <f t="shared" si="1"/>
        <v>Antwerp</v>
      </c>
      <c r="AM28" s="15" t="b">
        <f t="shared" si="2"/>
        <v>1</v>
      </c>
    </row>
    <row r="29" spans="1:42" s="31" customFormat="1" ht="12" customHeight="1" x14ac:dyDescent="0.2">
      <c r="A29" s="15" t="s">
        <v>587</v>
      </c>
      <c r="B29" s="15"/>
      <c r="C29" s="15" t="s">
        <v>588</v>
      </c>
      <c r="D29" s="15"/>
      <c r="E29" s="77">
        <v>42807</v>
      </c>
      <c r="F29" s="77"/>
      <c r="G29" s="77">
        <v>203204</v>
      </c>
      <c r="H29" s="77"/>
      <c r="I29" s="77">
        <v>68907</v>
      </c>
      <c r="J29" s="77"/>
      <c r="K29" s="77">
        <v>0</v>
      </c>
      <c r="L29" s="77"/>
      <c r="M29" s="77">
        <v>5615</v>
      </c>
      <c r="N29" s="77"/>
      <c r="O29" s="77">
        <v>6365</v>
      </c>
      <c r="P29" s="77"/>
      <c r="Q29" s="77">
        <v>8202</v>
      </c>
      <c r="R29" s="77"/>
      <c r="S29" s="77">
        <v>3046</v>
      </c>
      <c r="T29" s="77"/>
      <c r="U29" s="77">
        <v>0</v>
      </c>
      <c r="V29" s="77"/>
      <c r="W29" s="77">
        <v>0</v>
      </c>
      <c r="X29" s="77"/>
      <c r="Y29" s="77">
        <v>0</v>
      </c>
      <c r="Z29" s="77"/>
      <c r="AA29" s="77">
        <v>54300</v>
      </c>
      <c r="AB29" s="77"/>
      <c r="AC29" s="77">
        <v>30000</v>
      </c>
      <c r="AD29" s="77"/>
      <c r="AE29" s="77">
        <v>0</v>
      </c>
      <c r="AF29" s="77"/>
      <c r="AG29" s="77">
        <v>0</v>
      </c>
      <c r="AH29" s="77"/>
      <c r="AI29" s="77">
        <f t="shared" si="0"/>
        <v>422446</v>
      </c>
      <c r="AJ29" s="24"/>
      <c r="AK29" s="15" t="str">
        <f>'Gen Rev'!A29</f>
        <v>Apple Creek</v>
      </c>
      <c r="AL29" s="15" t="str">
        <f t="shared" si="1"/>
        <v>Apple Creek</v>
      </c>
      <c r="AM29" s="15" t="b">
        <f t="shared" si="2"/>
        <v>1</v>
      </c>
    </row>
    <row r="30" spans="1:42" s="31" customFormat="1" ht="12" customHeight="1" x14ac:dyDescent="0.2">
      <c r="A30" s="1" t="s">
        <v>705</v>
      </c>
      <c r="B30" s="1"/>
      <c r="C30" s="1" t="s">
        <v>368</v>
      </c>
      <c r="D30" s="15"/>
      <c r="E30" s="77">
        <v>14368.9</v>
      </c>
      <c r="F30" s="77"/>
      <c r="G30" s="77">
        <v>0</v>
      </c>
      <c r="H30" s="77"/>
      <c r="I30" s="77">
        <v>36556.959999999999</v>
      </c>
      <c r="J30" s="77"/>
      <c r="K30" s="77">
        <v>9652.7000000000007</v>
      </c>
      <c r="L30" s="77"/>
      <c r="M30" s="77">
        <v>1150</v>
      </c>
      <c r="N30" s="77"/>
      <c r="O30" s="77">
        <v>1835.18</v>
      </c>
      <c r="P30" s="77"/>
      <c r="Q30" s="77">
        <v>0</v>
      </c>
      <c r="R30" s="77"/>
      <c r="S30" s="77">
        <v>665</v>
      </c>
      <c r="T30" s="77"/>
      <c r="U30" s="77">
        <v>0</v>
      </c>
      <c r="V30" s="77"/>
      <c r="W30" s="77">
        <v>0</v>
      </c>
      <c r="X30" s="77"/>
      <c r="Y30" s="77">
        <v>0</v>
      </c>
      <c r="Z30" s="77"/>
      <c r="AA30" s="77">
        <v>0</v>
      </c>
      <c r="AB30" s="77"/>
      <c r="AC30" s="77">
        <v>0</v>
      </c>
      <c r="AD30" s="77"/>
      <c r="AE30" s="77">
        <v>0</v>
      </c>
      <c r="AF30" s="77"/>
      <c r="AG30" s="77">
        <v>0</v>
      </c>
      <c r="AH30" s="77"/>
      <c r="AI30" s="77">
        <f t="shared" si="0"/>
        <v>64228.74</v>
      </c>
      <c r="AJ30" s="37"/>
      <c r="AK30" s="15" t="str">
        <f>'Gen Rev'!A30</f>
        <v>Aquilla</v>
      </c>
      <c r="AL30" s="15" t="str">
        <f t="shared" si="1"/>
        <v>Aquilla</v>
      </c>
      <c r="AM30" s="15" t="b">
        <f t="shared" si="2"/>
        <v>1</v>
      </c>
      <c r="AN30" s="15"/>
      <c r="AO30" s="15"/>
      <c r="AP30" s="15"/>
    </row>
    <row r="31" spans="1:42" s="31" customFormat="1" ht="12" customHeight="1" x14ac:dyDescent="0.2">
      <c r="A31" s="1" t="s">
        <v>387</v>
      </c>
      <c r="B31" s="1"/>
      <c r="C31" s="1" t="s">
        <v>388</v>
      </c>
      <c r="D31" s="15"/>
      <c r="E31" s="77">
        <v>55441.25</v>
      </c>
      <c r="F31" s="77"/>
      <c r="G31" s="77">
        <v>0</v>
      </c>
      <c r="H31" s="77"/>
      <c r="I31" s="77">
        <v>58226</v>
      </c>
      <c r="J31" s="77"/>
      <c r="K31" s="77">
        <v>3479.61</v>
      </c>
      <c r="L31" s="77"/>
      <c r="M31" s="77">
        <v>0</v>
      </c>
      <c r="N31" s="77"/>
      <c r="O31" s="77">
        <v>465</v>
      </c>
      <c r="P31" s="77"/>
      <c r="Q31" s="77">
        <v>2030.16</v>
      </c>
      <c r="R31" s="77"/>
      <c r="S31" s="77">
        <v>3899.16</v>
      </c>
      <c r="T31" s="77"/>
      <c r="U31" s="77">
        <v>0</v>
      </c>
      <c r="V31" s="77"/>
      <c r="W31" s="77">
        <v>0</v>
      </c>
      <c r="X31" s="77"/>
      <c r="Y31" s="77">
        <v>0</v>
      </c>
      <c r="Z31" s="77"/>
      <c r="AA31" s="77">
        <v>8900</v>
      </c>
      <c r="AB31" s="77"/>
      <c r="AC31" s="77">
        <v>0</v>
      </c>
      <c r="AD31" s="77"/>
      <c r="AE31" s="77">
        <v>0</v>
      </c>
      <c r="AF31" s="77"/>
      <c r="AG31" s="77">
        <v>0</v>
      </c>
      <c r="AH31" s="77"/>
      <c r="AI31" s="77">
        <f t="shared" si="0"/>
        <v>132441.18</v>
      </c>
      <c r="AJ31" s="24"/>
      <c r="AK31" s="15" t="str">
        <f>'Gen Rev'!A31</f>
        <v>Arcadia</v>
      </c>
      <c r="AL31" s="15" t="str">
        <f t="shared" si="1"/>
        <v>Arcadia</v>
      </c>
      <c r="AM31" s="15" t="b">
        <f t="shared" si="2"/>
        <v>1</v>
      </c>
    </row>
    <row r="32" spans="1:42" s="31" customFormat="1" ht="12" customHeight="1" x14ac:dyDescent="0.2">
      <c r="A32" s="15" t="s">
        <v>330</v>
      </c>
      <c r="B32" s="15"/>
      <c r="C32" s="15" t="s">
        <v>329</v>
      </c>
      <c r="D32" s="15"/>
      <c r="E32" s="77">
        <v>103111</v>
      </c>
      <c r="F32" s="77"/>
      <c r="G32" s="77">
        <v>486631</v>
      </c>
      <c r="H32" s="77"/>
      <c r="I32" s="77">
        <v>325169</v>
      </c>
      <c r="J32" s="77"/>
      <c r="K32" s="77">
        <v>0</v>
      </c>
      <c r="L32" s="77"/>
      <c r="M32" s="77">
        <v>81551</v>
      </c>
      <c r="N32" s="77"/>
      <c r="O32" s="77">
        <v>885</v>
      </c>
      <c r="P32" s="77"/>
      <c r="Q32" s="77">
        <v>24311</v>
      </c>
      <c r="R32" s="77"/>
      <c r="S32" s="77">
        <v>33457</v>
      </c>
      <c r="T32" s="77"/>
      <c r="U32" s="77">
        <v>0</v>
      </c>
      <c r="V32" s="77"/>
      <c r="W32" s="77">
        <v>0</v>
      </c>
      <c r="X32" s="77"/>
      <c r="Y32" s="77">
        <v>9000</v>
      </c>
      <c r="Z32" s="77"/>
      <c r="AA32" s="77">
        <v>106092</v>
      </c>
      <c r="AB32" s="77"/>
      <c r="AC32" s="77">
        <v>0</v>
      </c>
      <c r="AD32" s="77"/>
      <c r="AE32" s="77">
        <v>0</v>
      </c>
      <c r="AF32" s="77"/>
      <c r="AG32" s="77">
        <v>0</v>
      </c>
      <c r="AH32" s="77"/>
      <c r="AI32" s="77">
        <f t="shared" si="0"/>
        <v>1170207</v>
      </c>
      <c r="AJ32" s="24"/>
      <c r="AK32" s="15" t="str">
        <f>'Gen Rev'!A32</f>
        <v>Arcanum</v>
      </c>
      <c r="AL32" s="15" t="str">
        <f t="shared" si="1"/>
        <v>Arcanum</v>
      </c>
      <c r="AM32" s="15" t="b">
        <f t="shared" si="2"/>
        <v>1</v>
      </c>
      <c r="AN32" s="32"/>
      <c r="AO32" s="32"/>
      <c r="AP32" s="32"/>
    </row>
    <row r="33" spans="1:42" s="31" customFormat="1" ht="12" customHeight="1" x14ac:dyDescent="0.2">
      <c r="A33" s="15" t="s">
        <v>357</v>
      </c>
      <c r="B33" s="15"/>
      <c r="C33" s="15" t="s">
        <v>358</v>
      </c>
      <c r="D33" s="15"/>
      <c r="E33" s="77">
        <v>572501</v>
      </c>
      <c r="F33" s="77"/>
      <c r="G33" s="77">
        <v>3690071</v>
      </c>
      <c r="H33" s="77"/>
      <c r="I33" s="77">
        <v>949438</v>
      </c>
      <c r="J33" s="77"/>
      <c r="K33" s="77">
        <v>300102</v>
      </c>
      <c r="L33" s="77"/>
      <c r="M33" s="77">
        <v>723953</v>
      </c>
      <c r="N33" s="77"/>
      <c r="O33" s="77">
        <v>12180</v>
      </c>
      <c r="P33" s="77"/>
      <c r="Q33" s="77">
        <v>18854</v>
      </c>
      <c r="R33" s="77"/>
      <c r="S33" s="77">
        <v>107906</v>
      </c>
      <c r="T33" s="77"/>
      <c r="U33" s="77">
        <v>0</v>
      </c>
      <c r="V33" s="77"/>
      <c r="W33" s="77">
        <v>0</v>
      </c>
      <c r="X33" s="77"/>
      <c r="Y33" s="77">
        <v>0</v>
      </c>
      <c r="Z33" s="77"/>
      <c r="AA33" s="77">
        <v>2907845</v>
      </c>
      <c r="AB33" s="77"/>
      <c r="AC33" s="77">
        <v>800</v>
      </c>
      <c r="AD33" s="77"/>
      <c r="AE33" s="77">
        <v>347711</v>
      </c>
      <c r="AF33" s="77"/>
      <c r="AG33" s="77">
        <v>0</v>
      </c>
      <c r="AH33" s="77"/>
      <c r="AI33" s="77">
        <f t="shared" si="0"/>
        <v>9631361</v>
      </c>
      <c r="AJ33" s="24"/>
      <c r="AK33" s="15" t="str">
        <f>'Gen Rev'!A33</f>
        <v>Archbold</v>
      </c>
      <c r="AL33" s="15" t="str">
        <f t="shared" si="1"/>
        <v>Archbold</v>
      </c>
      <c r="AM33" s="15" t="b">
        <f t="shared" si="2"/>
        <v>1</v>
      </c>
    </row>
    <row r="34" spans="1:42" ht="12" customHeight="1" x14ac:dyDescent="0.2">
      <c r="A34" s="15" t="s">
        <v>98</v>
      </c>
      <c r="C34" s="15" t="s">
        <v>388</v>
      </c>
      <c r="E34" s="77">
        <v>97917.61</v>
      </c>
      <c r="F34" s="77"/>
      <c r="G34" s="77">
        <v>175299.94</v>
      </c>
      <c r="H34" s="77"/>
      <c r="I34" s="77">
        <v>151028.51999999999</v>
      </c>
      <c r="J34" s="77"/>
      <c r="K34" s="77">
        <v>64243.05</v>
      </c>
      <c r="L34" s="77"/>
      <c r="M34" s="77">
        <v>37792.800000000003</v>
      </c>
      <c r="N34" s="77"/>
      <c r="O34" s="77">
        <v>1889.25</v>
      </c>
      <c r="P34" s="77"/>
      <c r="Q34" s="77">
        <v>15348.35</v>
      </c>
      <c r="R34" s="77"/>
      <c r="S34" s="77">
        <v>8197.3799999999992</v>
      </c>
      <c r="T34" s="77"/>
      <c r="U34" s="77">
        <v>0</v>
      </c>
      <c r="V34" s="77"/>
      <c r="W34" s="77">
        <v>0</v>
      </c>
      <c r="X34" s="77"/>
      <c r="Y34" s="77">
        <v>0</v>
      </c>
      <c r="Z34" s="77"/>
      <c r="AA34" s="77">
        <v>112534.49</v>
      </c>
      <c r="AB34" s="77"/>
      <c r="AC34" s="77">
        <v>43500</v>
      </c>
      <c r="AD34" s="77"/>
      <c r="AE34" s="77">
        <v>2420.3200000000002</v>
      </c>
      <c r="AF34" s="77"/>
      <c r="AG34" s="77">
        <v>0</v>
      </c>
      <c r="AH34" s="77"/>
      <c r="AI34" s="77">
        <f t="shared" si="0"/>
        <v>710171.70999999985</v>
      </c>
      <c r="AJ34" s="24"/>
      <c r="AK34" s="15" t="str">
        <f>'Gen Rev'!A34</f>
        <v>Arlington</v>
      </c>
      <c r="AL34" s="15" t="str">
        <f t="shared" si="1"/>
        <v>Arlington</v>
      </c>
      <c r="AM34" s="15" t="b">
        <f t="shared" si="2"/>
        <v>1</v>
      </c>
    </row>
    <row r="35" spans="1:42" s="31" customFormat="1" ht="12" customHeight="1" x14ac:dyDescent="0.2">
      <c r="A35" s="15" t="s">
        <v>379</v>
      </c>
      <c r="B35" s="15"/>
      <c r="C35" s="15" t="s">
        <v>378</v>
      </c>
      <c r="D35" s="15"/>
      <c r="E35" s="77">
        <v>527710</v>
      </c>
      <c r="F35" s="77"/>
      <c r="G35" s="77">
        <v>0</v>
      </c>
      <c r="H35" s="77"/>
      <c r="I35" s="77">
        <v>87845</v>
      </c>
      <c r="J35" s="77"/>
      <c r="K35" s="77">
        <v>0</v>
      </c>
      <c r="L35" s="77"/>
      <c r="M35" s="77">
        <v>101300</v>
      </c>
      <c r="N35" s="77"/>
      <c r="O35" s="77">
        <v>427114</v>
      </c>
      <c r="P35" s="77"/>
      <c r="Q35" s="77">
        <v>0</v>
      </c>
      <c r="R35" s="77"/>
      <c r="S35" s="77">
        <v>14200</v>
      </c>
      <c r="T35" s="77"/>
      <c r="U35" s="77">
        <v>0</v>
      </c>
      <c r="V35" s="77"/>
      <c r="W35" s="77">
        <v>0</v>
      </c>
      <c r="X35" s="77"/>
      <c r="Y35" s="77">
        <v>6170</v>
      </c>
      <c r="Z35" s="77"/>
      <c r="AA35" s="77">
        <v>0</v>
      </c>
      <c r="AB35" s="77"/>
      <c r="AC35" s="77">
        <v>0</v>
      </c>
      <c r="AD35" s="77"/>
      <c r="AE35" s="77">
        <v>2656</v>
      </c>
      <c r="AF35" s="77"/>
      <c r="AG35" s="77">
        <v>0</v>
      </c>
      <c r="AH35" s="77"/>
      <c r="AI35" s="77">
        <f t="shared" si="0"/>
        <v>1166995</v>
      </c>
      <c r="AJ35" s="24"/>
      <c r="AK35" s="15" t="str">
        <f>'Gen Rev'!A35</f>
        <v>Arlington Heights</v>
      </c>
      <c r="AL35" s="15" t="str">
        <f t="shared" si="1"/>
        <v>Arlington Heights</v>
      </c>
      <c r="AM35" s="15" t="b">
        <f t="shared" si="2"/>
        <v>1</v>
      </c>
    </row>
    <row r="36" spans="1:42" ht="12" customHeight="1" x14ac:dyDescent="0.2">
      <c r="A36" s="1" t="s">
        <v>914</v>
      </c>
      <c r="B36" s="1"/>
      <c r="C36" s="1" t="s">
        <v>343</v>
      </c>
      <c r="E36" s="77">
        <v>275639.40999999997</v>
      </c>
      <c r="F36" s="77"/>
      <c r="G36" s="77">
        <v>0</v>
      </c>
      <c r="H36" s="77"/>
      <c r="I36" s="77">
        <v>81892.160000000003</v>
      </c>
      <c r="J36" s="77"/>
      <c r="K36" s="77">
        <v>0</v>
      </c>
      <c r="L36" s="77"/>
      <c r="M36" s="77">
        <v>87487.08</v>
      </c>
      <c r="N36" s="77"/>
      <c r="O36" s="77">
        <v>9702.65</v>
      </c>
      <c r="P36" s="77"/>
      <c r="Q36" s="77">
        <v>277.39</v>
      </c>
      <c r="R36" s="77"/>
      <c r="S36" s="77">
        <v>18662.16</v>
      </c>
      <c r="T36" s="77"/>
      <c r="U36" s="77">
        <v>0</v>
      </c>
      <c r="V36" s="77"/>
      <c r="W36" s="77">
        <v>0</v>
      </c>
      <c r="X36" s="77"/>
      <c r="Y36" s="77">
        <v>0</v>
      </c>
      <c r="Z36" s="77"/>
      <c r="AA36" s="77">
        <v>69095</v>
      </c>
      <c r="AB36" s="77"/>
      <c r="AC36" s="77">
        <v>0</v>
      </c>
      <c r="AD36" s="77"/>
      <c r="AE36" s="77">
        <v>0</v>
      </c>
      <c r="AF36" s="77"/>
      <c r="AG36" s="77">
        <v>0</v>
      </c>
      <c r="AH36" s="77"/>
      <c r="AI36" s="77">
        <f t="shared" si="0"/>
        <v>542755.85</v>
      </c>
      <c r="AJ36" s="24"/>
      <c r="AK36" s="15" t="str">
        <f>'Gen Rev'!A36</f>
        <v>Ashley</v>
      </c>
      <c r="AL36" s="15" t="str">
        <f t="shared" si="1"/>
        <v>Ashley</v>
      </c>
      <c r="AM36" s="15" t="b">
        <f t="shared" si="2"/>
        <v>1</v>
      </c>
      <c r="AN36" s="31"/>
      <c r="AO36" s="31"/>
      <c r="AP36" s="31"/>
    </row>
    <row r="37" spans="1:42" ht="12" customHeight="1" x14ac:dyDescent="0.2">
      <c r="A37" s="1" t="s">
        <v>836</v>
      </c>
      <c r="B37" s="1"/>
      <c r="C37" s="1" t="s">
        <v>793</v>
      </c>
      <c r="E37" s="77">
        <v>134190.26</v>
      </c>
      <c r="F37" s="77"/>
      <c r="G37" s="77">
        <v>941247.68</v>
      </c>
      <c r="H37" s="77"/>
      <c r="I37" s="77">
        <v>309280.63</v>
      </c>
      <c r="J37" s="77"/>
      <c r="K37" s="77">
        <v>7500</v>
      </c>
      <c r="L37" s="77"/>
      <c r="M37" s="77">
        <v>334301.21000000002</v>
      </c>
      <c r="N37" s="77"/>
      <c r="O37" s="77">
        <v>65285.67</v>
      </c>
      <c r="P37" s="77"/>
      <c r="Q37" s="77">
        <v>6457.9</v>
      </c>
      <c r="R37" s="77"/>
      <c r="S37" s="77">
        <v>13284.46</v>
      </c>
      <c r="T37" s="77"/>
      <c r="U37" s="77">
        <v>0</v>
      </c>
      <c r="V37" s="77"/>
      <c r="W37" s="77">
        <v>0</v>
      </c>
      <c r="X37" s="77"/>
      <c r="Y37" s="77">
        <v>0</v>
      </c>
      <c r="Z37" s="77"/>
      <c r="AA37" s="77">
        <v>0</v>
      </c>
      <c r="AB37" s="77"/>
      <c r="AC37" s="77">
        <v>0</v>
      </c>
      <c r="AD37" s="77"/>
      <c r="AE37" s="77">
        <v>0</v>
      </c>
      <c r="AF37" s="77"/>
      <c r="AG37" s="77">
        <v>0</v>
      </c>
      <c r="AH37" s="77"/>
      <c r="AI37" s="77">
        <f t="shared" si="0"/>
        <v>1811547.8099999996</v>
      </c>
      <c r="AJ37" s="24"/>
      <c r="AK37" s="15" t="str">
        <f>'Gen Rev'!A37</f>
        <v>Ashville</v>
      </c>
      <c r="AL37" s="15" t="str">
        <f t="shared" si="1"/>
        <v>Ashville</v>
      </c>
      <c r="AM37" s="15" t="b">
        <f t="shared" si="2"/>
        <v>1</v>
      </c>
    </row>
    <row r="38" spans="1:42" ht="12" customHeight="1" x14ac:dyDescent="0.2">
      <c r="A38" s="15" t="s">
        <v>877</v>
      </c>
      <c r="C38" s="15" t="s">
        <v>437</v>
      </c>
      <c r="E38" s="77">
        <v>14356</v>
      </c>
      <c r="F38" s="77"/>
      <c r="G38" s="77">
        <v>0</v>
      </c>
      <c r="H38" s="77"/>
      <c r="I38" s="77">
        <v>9647</v>
      </c>
      <c r="J38" s="77"/>
      <c r="K38" s="77">
        <v>0</v>
      </c>
      <c r="L38" s="77"/>
      <c r="M38" s="77">
        <v>1562</v>
      </c>
      <c r="N38" s="77"/>
      <c r="O38" s="77">
        <v>0</v>
      </c>
      <c r="P38" s="77"/>
      <c r="Q38" s="77">
        <v>0</v>
      </c>
      <c r="R38" s="77"/>
      <c r="S38" s="77">
        <v>2550</v>
      </c>
      <c r="T38" s="77"/>
      <c r="U38" s="77">
        <v>0</v>
      </c>
      <c r="V38" s="77"/>
      <c r="W38" s="77">
        <v>0</v>
      </c>
      <c r="X38" s="77"/>
      <c r="Y38" s="77">
        <v>0</v>
      </c>
      <c r="Z38" s="77"/>
      <c r="AA38" s="77">
        <v>0</v>
      </c>
      <c r="AB38" s="77"/>
      <c r="AC38" s="77">
        <v>0</v>
      </c>
      <c r="AD38" s="77"/>
      <c r="AE38" s="77">
        <v>0</v>
      </c>
      <c r="AF38" s="77"/>
      <c r="AG38" s="77">
        <v>0</v>
      </c>
      <c r="AH38" s="77"/>
      <c r="AI38" s="77">
        <f t="shared" si="0"/>
        <v>28115</v>
      </c>
      <c r="AJ38" s="24"/>
      <c r="AK38" s="15" t="str">
        <f>'Gen Rev'!A38</f>
        <v>Athalia</v>
      </c>
      <c r="AL38" s="15" t="str">
        <f t="shared" si="1"/>
        <v>Athalia</v>
      </c>
      <c r="AM38" s="15" t="b">
        <f t="shared" si="2"/>
        <v>1</v>
      </c>
    </row>
    <row r="39" spans="1:42" ht="12" customHeight="1" x14ac:dyDescent="0.2">
      <c r="A39" s="1" t="s">
        <v>218</v>
      </c>
      <c r="B39" s="1"/>
      <c r="C39" s="1" t="s">
        <v>802</v>
      </c>
      <c r="E39" s="77">
        <v>136459.29999999999</v>
      </c>
      <c r="F39" s="77"/>
      <c r="G39" s="77">
        <v>0</v>
      </c>
      <c r="H39" s="77"/>
      <c r="I39" s="77">
        <v>89142.05</v>
      </c>
      <c r="J39" s="77"/>
      <c r="K39" s="77">
        <v>0</v>
      </c>
      <c r="L39" s="77"/>
      <c r="M39" s="77">
        <v>9992.2000000000007</v>
      </c>
      <c r="N39" s="77"/>
      <c r="O39" s="77">
        <v>21674.5</v>
      </c>
      <c r="P39" s="77"/>
      <c r="Q39" s="77">
        <v>519.79999999999995</v>
      </c>
      <c r="R39" s="77"/>
      <c r="S39" s="77">
        <v>14991.53</v>
      </c>
      <c r="T39" s="77"/>
      <c r="U39" s="77">
        <v>0</v>
      </c>
      <c r="V39" s="77"/>
      <c r="W39" s="77">
        <v>25788</v>
      </c>
      <c r="X39" s="77"/>
      <c r="Y39" s="77">
        <v>0</v>
      </c>
      <c r="Z39" s="77"/>
      <c r="AA39" s="77">
        <v>0</v>
      </c>
      <c r="AB39" s="77"/>
      <c r="AC39" s="77">
        <v>0</v>
      </c>
      <c r="AD39" s="77"/>
      <c r="AE39" s="77">
        <v>500</v>
      </c>
      <c r="AF39" s="77"/>
      <c r="AG39" s="77">
        <v>0</v>
      </c>
      <c r="AH39" s="77"/>
      <c r="AI39" s="77">
        <f t="shared" si="0"/>
        <v>299067.38</v>
      </c>
      <c r="AJ39" s="24"/>
      <c r="AK39" s="15" t="str">
        <f>'Gen Rev'!A39</f>
        <v>Attica</v>
      </c>
      <c r="AL39" s="15" t="str">
        <f t="shared" si="1"/>
        <v>Attica</v>
      </c>
      <c r="AM39" s="15" t="b">
        <f t="shared" si="2"/>
        <v>1</v>
      </c>
    </row>
    <row r="40" spans="1:42" s="31" customFormat="1" ht="12" customHeight="1" x14ac:dyDescent="0.2">
      <c r="A40" s="15" t="s">
        <v>667</v>
      </c>
      <c r="B40" s="15"/>
      <c r="C40" s="15" t="s">
        <v>666</v>
      </c>
      <c r="D40" s="15"/>
      <c r="E40" s="77">
        <v>6110</v>
      </c>
      <c r="F40" s="77"/>
      <c r="G40" s="77">
        <v>0</v>
      </c>
      <c r="H40" s="77"/>
      <c r="I40" s="77">
        <f>30176+2988+15086</f>
        <v>48250</v>
      </c>
      <c r="J40" s="77"/>
      <c r="K40" s="77">
        <v>0</v>
      </c>
      <c r="L40" s="77"/>
      <c r="M40" s="77">
        <v>1200</v>
      </c>
      <c r="N40" s="77"/>
      <c r="O40" s="77">
        <v>2328</v>
      </c>
      <c r="P40" s="77"/>
      <c r="Q40" s="77">
        <v>24</v>
      </c>
      <c r="R40" s="77"/>
      <c r="S40" s="77">
        <v>119</v>
      </c>
      <c r="T40" s="77"/>
      <c r="U40" s="77">
        <v>0</v>
      </c>
      <c r="V40" s="77"/>
      <c r="W40" s="77">
        <v>0</v>
      </c>
      <c r="X40" s="77"/>
      <c r="Y40" s="77">
        <v>0</v>
      </c>
      <c r="Z40" s="77"/>
      <c r="AA40" s="77">
        <v>1248</v>
      </c>
      <c r="AB40" s="77"/>
      <c r="AC40" s="77">
        <v>0</v>
      </c>
      <c r="AD40" s="77"/>
      <c r="AE40" s="77">
        <v>0</v>
      </c>
      <c r="AF40" s="77"/>
      <c r="AG40" s="77">
        <v>0</v>
      </c>
      <c r="AH40" s="77"/>
      <c r="AI40" s="77">
        <f t="shared" si="0"/>
        <v>59279</v>
      </c>
      <c r="AJ40" s="24"/>
      <c r="AK40" s="15" t="str">
        <f>'Gen Rev'!A40</f>
        <v>Bailey Lakes</v>
      </c>
      <c r="AL40" s="15" t="str">
        <f t="shared" si="1"/>
        <v>Bailey Lakes</v>
      </c>
      <c r="AM40" s="15" t="b">
        <f t="shared" si="2"/>
        <v>1</v>
      </c>
      <c r="AN40" s="15"/>
      <c r="AO40" s="15"/>
      <c r="AP40" s="15"/>
    </row>
    <row r="41" spans="1:42" s="31" customFormat="1" ht="12" customHeight="1" x14ac:dyDescent="0.2">
      <c r="A41" s="1" t="s">
        <v>837</v>
      </c>
      <c r="B41" s="1"/>
      <c r="C41" s="1" t="s">
        <v>799</v>
      </c>
      <c r="D41" s="15"/>
      <c r="E41" s="77">
        <v>56361.45</v>
      </c>
      <c r="F41" s="77"/>
      <c r="G41" s="77">
        <v>0</v>
      </c>
      <c r="H41" s="77"/>
      <c r="I41" s="77">
        <v>80033.539999999994</v>
      </c>
      <c r="J41" s="77"/>
      <c r="K41" s="77">
        <v>0</v>
      </c>
      <c r="L41" s="77"/>
      <c r="M41" s="77">
        <v>33288.81</v>
      </c>
      <c r="N41" s="77"/>
      <c r="O41" s="77">
        <v>0</v>
      </c>
      <c r="P41" s="77"/>
      <c r="Q41" s="77">
        <v>2184.66</v>
      </c>
      <c r="R41" s="77"/>
      <c r="S41" s="77">
        <v>6295.65</v>
      </c>
      <c r="T41" s="77"/>
      <c r="U41" s="77">
        <v>0</v>
      </c>
      <c r="V41" s="77"/>
      <c r="W41" s="77">
        <v>0</v>
      </c>
      <c r="X41" s="77"/>
      <c r="Y41" s="77">
        <v>0</v>
      </c>
      <c r="Z41" s="77"/>
      <c r="AA41" s="77">
        <v>0</v>
      </c>
      <c r="AB41" s="77"/>
      <c r="AC41" s="77">
        <v>0</v>
      </c>
      <c r="AD41" s="77"/>
      <c r="AE41" s="77">
        <v>0</v>
      </c>
      <c r="AF41" s="77"/>
      <c r="AG41" s="77">
        <v>0</v>
      </c>
      <c r="AH41" s="77"/>
      <c r="AI41" s="77">
        <f t="shared" si="0"/>
        <v>178164.11</v>
      </c>
      <c r="AJ41" s="24"/>
      <c r="AK41" s="15" t="str">
        <f>'Gen Rev'!A41</f>
        <v>Bainbridge</v>
      </c>
      <c r="AL41" s="15" t="str">
        <f t="shared" si="1"/>
        <v>Bainbridge</v>
      </c>
      <c r="AM41" s="15" t="b">
        <f t="shared" si="2"/>
        <v>1</v>
      </c>
      <c r="AN41" s="32"/>
      <c r="AO41" s="32"/>
      <c r="AP41" s="32"/>
    </row>
    <row r="42" spans="1:42" ht="12" customHeight="1" x14ac:dyDescent="0.2">
      <c r="A42" s="1" t="s">
        <v>600</v>
      </c>
      <c r="B42" s="1"/>
      <c r="C42" s="1" t="s">
        <v>601</v>
      </c>
      <c r="D42" s="37"/>
      <c r="E42" s="77">
        <v>2150.42</v>
      </c>
      <c r="F42" s="77"/>
      <c r="G42" s="77">
        <v>0</v>
      </c>
      <c r="H42" s="77"/>
      <c r="I42" s="77">
        <v>12299.11</v>
      </c>
      <c r="J42" s="77"/>
      <c r="K42" s="77">
        <v>4281.57</v>
      </c>
      <c r="L42" s="77"/>
      <c r="M42" s="77">
        <v>600</v>
      </c>
      <c r="N42" s="77"/>
      <c r="O42" s="77">
        <v>1332.9</v>
      </c>
      <c r="P42" s="77"/>
      <c r="Q42" s="77">
        <v>10.02</v>
      </c>
      <c r="R42" s="77"/>
      <c r="S42" s="77">
        <v>211.88</v>
      </c>
      <c r="T42" s="77"/>
      <c r="U42" s="77">
        <v>0</v>
      </c>
      <c r="V42" s="77"/>
      <c r="W42" s="77">
        <v>0</v>
      </c>
      <c r="X42" s="77"/>
      <c r="Y42" s="77">
        <v>0</v>
      </c>
      <c r="Z42" s="77"/>
      <c r="AA42" s="77">
        <v>0</v>
      </c>
      <c r="AB42" s="77"/>
      <c r="AC42" s="77">
        <v>0</v>
      </c>
      <c r="AD42" s="77"/>
      <c r="AE42" s="77">
        <v>0</v>
      </c>
      <c r="AF42" s="77"/>
      <c r="AG42" s="77">
        <v>0</v>
      </c>
      <c r="AH42" s="77"/>
      <c r="AI42" s="77">
        <f t="shared" si="0"/>
        <v>20885.900000000001</v>
      </c>
      <c r="AJ42" s="37"/>
      <c r="AK42" s="15" t="str">
        <f>'Gen Rev'!A42</f>
        <v>Bairdstown</v>
      </c>
      <c r="AL42" s="15" t="str">
        <f t="shared" si="1"/>
        <v>Bairdstown</v>
      </c>
      <c r="AM42" s="15" t="b">
        <f t="shared" si="2"/>
        <v>1</v>
      </c>
      <c r="AN42" s="37"/>
      <c r="AO42" s="37"/>
      <c r="AP42" s="37"/>
    </row>
    <row r="43" spans="1:42" s="31" customFormat="1" ht="12" customHeight="1" x14ac:dyDescent="0.2">
      <c r="A43" s="15" t="s">
        <v>559</v>
      </c>
      <c r="B43" s="15"/>
      <c r="C43" s="15" t="s">
        <v>560</v>
      </c>
      <c r="D43" s="15"/>
      <c r="E43" s="77">
        <v>88621</v>
      </c>
      <c r="F43" s="77"/>
      <c r="G43" s="77">
        <v>166666</v>
      </c>
      <c r="H43" s="77"/>
      <c r="I43" s="77">
        <v>85339</v>
      </c>
      <c r="J43" s="77"/>
      <c r="K43" s="77">
        <v>0</v>
      </c>
      <c r="L43" s="77"/>
      <c r="M43" s="77">
        <v>113236</v>
      </c>
      <c r="N43" s="77"/>
      <c r="O43" s="77">
        <v>296</v>
      </c>
      <c r="P43" s="77"/>
      <c r="Q43" s="77">
        <v>780</v>
      </c>
      <c r="R43" s="77"/>
      <c r="S43" s="77">
        <v>5677</v>
      </c>
      <c r="T43" s="77"/>
      <c r="U43" s="77">
        <v>0</v>
      </c>
      <c r="V43" s="77"/>
      <c r="W43" s="77">
        <v>46000</v>
      </c>
      <c r="X43" s="77"/>
      <c r="Y43" s="77">
        <v>66229</v>
      </c>
      <c r="Z43" s="77"/>
      <c r="AA43" s="77">
        <v>10000</v>
      </c>
      <c r="AB43" s="77"/>
      <c r="AC43" s="77">
        <v>0</v>
      </c>
      <c r="AD43" s="77"/>
      <c r="AE43" s="77">
        <v>19173</v>
      </c>
      <c r="AF43" s="77"/>
      <c r="AG43" s="77">
        <v>0</v>
      </c>
      <c r="AH43" s="77"/>
      <c r="AI43" s="77">
        <f t="shared" si="0"/>
        <v>602017</v>
      </c>
      <c r="AJ43" s="24"/>
      <c r="AK43" s="15" t="str">
        <f>'Gen Rev'!A43</f>
        <v>Baltic</v>
      </c>
      <c r="AL43" s="15" t="str">
        <f t="shared" si="1"/>
        <v>Baltic</v>
      </c>
      <c r="AM43" s="15" t="b">
        <f t="shared" si="2"/>
        <v>1</v>
      </c>
      <c r="AN43" s="15"/>
      <c r="AO43" s="15"/>
      <c r="AP43" s="15"/>
    </row>
    <row r="44" spans="1:42" ht="12" customHeight="1" x14ac:dyDescent="0.2">
      <c r="A44" s="15" t="s">
        <v>349</v>
      </c>
      <c r="C44" s="15" t="s">
        <v>350</v>
      </c>
      <c r="E44" s="77">
        <v>101264</v>
      </c>
      <c r="F44" s="77"/>
      <c r="G44" s="77">
        <v>638839</v>
      </c>
      <c r="H44" s="77"/>
      <c r="I44" s="77">
        <v>196772</v>
      </c>
      <c r="J44" s="77"/>
      <c r="K44" s="77">
        <v>0</v>
      </c>
      <c r="L44" s="77"/>
      <c r="M44" s="77">
        <v>39575</v>
      </c>
      <c r="N44" s="77"/>
      <c r="O44" s="77">
        <v>67674</v>
      </c>
      <c r="P44" s="77"/>
      <c r="Q44" s="77">
        <v>2455</v>
      </c>
      <c r="R44" s="77"/>
      <c r="S44" s="77">
        <v>15669</v>
      </c>
      <c r="T44" s="77"/>
      <c r="U44" s="77">
        <v>0</v>
      </c>
      <c r="V44" s="77"/>
      <c r="W44" s="77">
        <v>0</v>
      </c>
      <c r="X44" s="77"/>
      <c r="Y44" s="77">
        <v>54730</v>
      </c>
      <c r="Z44" s="77"/>
      <c r="AA44" s="77">
        <v>0</v>
      </c>
      <c r="AB44" s="77"/>
      <c r="AC44" s="77">
        <v>0</v>
      </c>
      <c r="AD44" s="77"/>
      <c r="AE44" s="77">
        <v>0</v>
      </c>
      <c r="AF44" s="77"/>
      <c r="AG44" s="77">
        <v>0</v>
      </c>
      <c r="AH44" s="77"/>
      <c r="AI44" s="77">
        <f t="shared" si="0"/>
        <v>1116978</v>
      </c>
      <c r="AJ44" s="24"/>
      <c r="AK44" s="15" t="str">
        <f>'Gen Rev'!A44</f>
        <v>Baltimore</v>
      </c>
      <c r="AL44" s="15" t="str">
        <f t="shared" si="1"/>
        <v>Baltimore</v>
      </c>
      <c r="AM44" s="15" t="b">
        <f t="shared" si="2"/>
        <v>1</v>
      </c>
      <c r="AN44" s="31"/>
      <c r="AO44" s="31"/>
      <c r="AP44" s="31"/>
    </row>
    <row r="45" spans="1:42" s="31" customFormat="1" ht="12" customHeight="1" x14ac:dyDescent="0.2">
      <c r="A45" s="15" t="s">
        <v>278</v>
      </c>
      <c r="B45" s="15"/>
      <c r="C45" s="15" t="s">
        <v>279</v>
      </c>
      <c r="D45" s="15"/>
      <c r="E45" s="77">
        <v>153285</v>
      </c>
      <c r="F45" s="77"/>
      <c r="G45" s="77">
        <v>672605</v>
      </c>
      <c r="H45" s="77"/>
      <c r="I45" s="77">
        <v>714094</v>
      </c>
      <c r="J45" s="77"/>
      <c r="K45" s="77">
        <v>0</v>
      </c>
      <c r="L45" s="77"/>
      <c r="M45" s="77">
        <v>447254</v>
      </c>
      <c r="N45" s="77"/>
      <c r="O45" s="77">
        <v>62078</v>
      </c>
      <c r="P45" s="77"/>
      <c r="Q45" s="77">
        <v>98267</v>
      </c>
      <c r="R45" s="77"/>
      <c r="S45" s="77">
        <v>68626</v>
      </c>
      <c r="T45" s="77"/>
      <c r="U45" s="77">
        <v>0</v>
      </c>
      <c r="V45" s="77"/>
      <c r="W45" s="77">
        <v>0</v>
      </c>
      <c r="X45" s="77"/>
      <c r="Y45" s="77">
        <v>0</v>
      </c>
      <c r="Z45" s="77"/>
      <c r="AA45" s="77">
        <v>1038458</v>
      </c>
      <c r="AB45" s="77"/>
      <c r="AC45" s="77">
        <v>0</v>
      </c>
      <c r="AD45" s="77"/>
      <c r="AE45" s="77">
        <v>4897416</v>
      </c>
      <c r="AF45" s="77"/>
      <c r="AG45" s="77">
        <v>0</v>
      </c>
      <c r="AH45" s="77"/>
      <c r="AI45" s="77">
        <f t="shared" si="0"/>
        <v>8152083</v>
      </c>
      <c r="AJ45" s="24"/>
      <c r="AK45" s="15" t="str">
        <f>'Gen Rev'!A45</f>
        <v>Barnesville</v>
      </c>
      <c r="AL45" s="15" t="str">
        <f t="shared" si="1"/>
        <v>Barnesville</v>
      </c>
      <c r="AM45" s="15" t="b">
        <f t="shared" si="2"/>
        <v>1</v>
      </c>
      <c r="AN45" s="15"/>
      <c r="AO45" s="15"/>
      <c r="AP45" s="15"/>
    </row>
    <row r="46" spans="1:42" ht="12" customHeight="1" x14ac:dyDescent="0.2">
      <c r="A46" s="1" t="s">
        <v>561</v>
      </c>
      <c r="B46" s="1"/>
      <c r="C46" s="1" t="s">
        <v>560</v>
      </c>
      <c r="E46" s="77">
        <v>12871.44</v>
      </c>
      <c r="F46" s="77"/>
      <c r="G46" s="77">
        <v>0</v>
      </c>
      <c r="H46" s="77"/>
      <c r="I46" s="77">
        <v>28371.94</v>
      </c>
      <c r="J46" s="77"/>
      <c r="K46" s="77">
        <v>0</v>
      </c>
      <c r="L46" s="77"/>
      <c r="M46" s="77">
        <v>0</v>
      </c>
      <c r="N46" s="77"/>
      <c r="O46" s="77">
        <v>0</v>
      </c>
      <c r="P46" s="77"/>
      <c r="Q46" s="77">
        <v>19.690000000000001</v>
      </c>
      <c r="R46" s="77"/>
      <c r="S46" s="77">
        <v>6.67</v>
      </c>
      <c r="T46" s="77"/>
      <c r="U46" s="77">
        <v>0</v>
      </c>
      <c r="V46" s="77"/>
      <c r="W46" s="77">
        <v>0</v>
      </c>
      <c r="X46" s="77"/>
      <c r="Y46" s="77">
        <v>7147.66</v>
      </c>
      <c r="Z46" s="77"/>
      <c r="AA46" s="77">
        <v>0</v>
      </c>
      <c r="AB46" s="77"/>
      <c r="AC46" s="77">
        <v>0</v>
      </c>
      <c r="AD46" s="77"/>
      <c r="AE46" s="77">
        <v>0</v>
      </c>
      <c r="AF46" s="77"/>
      <c r="AG46" s="77">
        <v>0</v>
      </c>
      <c r="AH46" s="77"/>
      <c r="AI46" s="77">
        <f t="shared" si="0"/>
        <v>48417.399999999994</v>
      </c>
      <c r="AJ46" s="24"/>
      <c r="AK46" s="15" t="str">
        <f>'Gen Rev'!A46</f>
        <v>Barnhill</v>
      </c>
      <c r="AL46" s="15" t="str">
        <f t="shared" si="1"/>
        <v>Barnhill</v>
      </c>
      <c r="AM46" s="15" t="b">
        <f t="shared" si="2"/>
        <v>1</v>
      </c>
      <c r="AN46" s="30"/>
      <c r="AO46" s="30"/>
      <c r="AP46" s="30"/>
    </row>
    <row r="47" spans="1:42" ht="12" customHeight="1" x14ac:dyDescent="0.2">
      <c r="A47" s="1" t="s">
        <v>294</v>
      </c>
      <c r="B47" s="1"/>
      <c r="C47" s="1" t="s">
        <v>295</v>
      </c>
      <c r="E47" s="77">
        <v>96113.71</v>
      </c>
      <c r="F47" s="77"/>
      <c r="G47" s="77">
        <v>976531.62</v>
      </c>
      <c r="H47" s="77"/>
      <c r="I47" s="77">
        <v>155571.53</v>
      </c>
      <c r="J47" s="77"/>
      <c r="K47" s="77">
        <v>19218.150000000001</v>
      </c>
      <c r="L47" s="77"/>
      <c r="M47" s="77">
        <v>117.8</v>
      </c>
      <c r="N47" s="77"/>
      <c r="O47" s="77">
        <v>21389.67</v>
      </c>
      <c r="P47" s="77"/>
      <c r="Q47" s="77">
        <v>1099.25</v>
      </c>
      <c r="R47" s="77"/>
      <c r="S47" s="77">
        <v>1875</v>
      </c>
      <c r="T47" s="77"/>
      <c r="U47" s="77">
        <v>0</v>
      </c>
      <c r="V47" s="77"/>
      <c r="W47" s="77">
        <v>0</v>
      </c>
      <c r="X47" s="77"/>
      <c r="Y47" s="77">
        <v>0</v>
      </c>
      <c r="Z47" s="77"/>
      <c r="AA47" s="77">
        <v>543961.88</v>
      </c>
      <c r="AB47" s="77"/>
      <c r="AC47" s="77">
        <v>0</v>
      </c>
      <c r="AD47" s="77"/>
      <c r="AE47" s="77">
        <v>10559.69</v>
      </c>
      <c r="AF47" s="77"/>
      <c r="AG47" s="77">
        <v>0</v>
      </c>
      <c r="AH47" s="77"/>
      <c r="AI47" s="77">
        <f t="shared" si="0"/>
        <v>1826438.2999999998</v>
      </c>
      <c r="AJ47" s="24"/>
      <c r="AK47" s="15" t="str">
        <f>'Gen Rev'!A47</f>
        <v>Batavia</v>
      </c>
      <c r="AL47" s="15" t="str">
        <f t="shared" si="1"/>
        <v>Batavia</v>
      </c>
      <c r="AM47" s="15" t="b">
        <f t="shared" si="2"/>
        <v>1</v>
      </c>
      <c r="AN47" s="31"/>
      <c r="AO47" s="31"/>
      <c r="AP47" s="31"/>
    </row>
    <row r="48" spans="1:42" s="31" customFormat="1" ht="12" customHeight="1" x14ac:dyDescent="0.2">
      <c r="A48" s="15" t="s">
        <v>489</v>
      </c>
      <c r="B48" s="15"/>
      <c r="C48" s="15" t="s">
        <v>490</v>
      </c>
      <c r="D48" s="15"/>
      <c r="E48" s="77">
        <f>13419+900</f>
        <v>14319</v>
      </c>
      <c r="F48" s="77"/>
      <c r="G48" s="77">
        <v>0</v>
      </c>
      <c r="H48" s="77"/>
      <c r="I48" s="77">
        <v>5098</v>
      </c>
      <c r="J48" s="77"/>
      <c r="K48" s="77">
        <v>0</v>
      </c>
      <c r="L48" s="77"/>
      <c r="M48" s="77">
        <v>0</v>
      </c>
      <c r="N48" s="77"/>
      <c r="O48" s="77">
        <v>0</v>
      </c>
      <c r="P48" s="77"/>
      <c r="Q48" s="77">
        <v>9</v>
      </c>
      <c r="R48" s="77"/>
      <c r="S48" s="77">
        <v>24753</v>
      </c>
      <c r="T48" s="77"/>
      <c r="U48" s="77">
        <v>0</v>
      </c>
      <c r="V48" s="77"/>
      <c r="W48" s="77">
        <v>0</v>
      </c>
      <c r="X48" s="77"/>
      <c r="Y48" s="77">
        <v>0</v>
      </c>
      <c r="Z48" s="77"/>
      <c r="AA48" s="77">
        <v>0</v>
      </c>
      <c r="AB48" s="77"/>
      <c r="AC48" s="77">
        <v>0</v>
      </c>
      <c r="AD48" s="77"/>
      <c r="AE48" s="77">
        <v>0</v>
      </c>
      <c r="AF48" s="77"/>
      <c r="AG48" s="77">
        <v>0</v>
      </c>
      <c r="AH48" s="77"/>
      <c r="AI48" s="77">
        <f t="shared" si="0"/>
        <v>44179</v>
      </c>
      <c r="AJ48" s="24"/>
      <c r="AK48" s="15" t="str">
        <f>'Gen Rev'!A48</f>
        <v>Batesville</v>
      </c>
      <c r="AL48" s="15" t="str">
        <f t="shared" si="1"/>
        <v>Batesville</v>
      </c>
      <c r="AM48" s="15" t="b">
        <f t="shared" si="2"/>
        <v>1</v>
      </c>
      <c r="AN48" s="15"/>
      <c r="AO48" s="15"/>
      <c r="AP48" s="15"/>
    </row>
    <row r="49" spans="1:42" s="31" customFormat="1" ht="12" customHeight="1" x14ac:dyDescent="0.2">
      <c r="A49" s="1" t="s">
        <v>58</v>
      </c>
      <c r="B49" s="1"/>
      <c r="C49" s="1" t="s">
        <v>755</v>
      </c>
      <c r="D49" s="15"/>
      <c r="E49" s="77">
        <v>103921.04</v>
      </c>
      <c r="F49" s="77"/>
      <c r="G49" s="77">
        <v>0</v>
      </c>
      <c r="H49" s="77"/>
      <c r="I49" s="77">
        <v>108093.55</v>
      </c>
      <c r="J49" s="77"/>
      <c r="K49" s="77">
        <v>11491.92</v>
      </c>
      <c r="L49" s="77"/>
      <c r="M49" s="77">
        <v>0</v>
      </c>
      <c r="N49" s="77"/>
      <c r="O49" s="77">
        <v>23096.69</v>
      </c>
      <c r="P49" s="77"/>
      <c r="Q49" s="77">
        <v>95.32</v>
      </c>
      <c r="R49" s="77"/>
      <c r="S49" s="77">
        <v>1606.23</v>
      </c>
      <c r="T49" s="77"/>
      <c r="U49" s="77">
        <v>0</v>
      </c>
      <c r="V49" s="77"/>
      <c r="W49" s="77">
        <v>0</v>
      </c>
      <c r="X49" s="77"/>
      <c r="Y49" s="77">
        <v>0</v>
      </c>
      <c r="Z49" s="77"/>
      <c r="AA49" s="77">
        <v>0</v>
      </c>
      <c r="AB49" s="77"/>
      <c r="AC49" s="77">
        <v>0</v>
      </c>
      <c r="AD49" s="77"/>
      <c r="AE49" s="77">
        <v>0</v>
      </c>
      <c r="AF49" s="77"/>
      <c r="AG49" s="77">
        <v>0</v>
      </c>
      <c r="AH49" s="77"/>
      <c r="AI49" s="77">
        <f t="shared" si="0"/>
        <v>248304.75000000003</v>
      </c>
      <c r="AJ49" s="24"/>
      <c r="AK49" s="15" t="str">
        <f>'Gen Rev'!A49</f>
        <v>Bay View</v>
      </c>
      <c r="AL49" s="15" t="str">
        <f t="shared" si="1"/>
        <v>Bay View</v>
      </c>
      <c r="AM49" s="15" t="b">
        <f t="shared" si="2"/>
        <v>1</v>
      </c>
    </row>
    <row r="50" spans="1:42" ht="12" customHeight="1" x14ac:dyDescent="0.2">
      <c r="A50" s="15" t="s">
        <v>539</v>
      </c>
      <c r="C50" s="15" t="s">
        <v>540</v>
      </c>
      <c r="E50" s="77">
        <v>102894</v>
      </c>
      <c r="F50" s="77"/>
      <c r="G50" s="77">
        <v>72603</v>
      </c>
      <c r="H50" s="77"/>
      <c r="I50" s="77">
        <v>81033</v>
      </c>
      <c r="J50" s="77"/>
      <c r="K50" s="77">
        <v>0</v>
      </c>
      <c r="L50" s="77"/>
      <c r="M50" s="77">
        <v>67078</v>
      </c>
      <c r="N50" s="77"/>
      <c r="O50" s="77">
        <v>483</v>
      </c>
      <c r="P50" s="77"/>
      <c r="Q50" s="77">
        <v>9284</v>
      </c>
      <c r="R50" s="77"/>
      <c r="S50" s="77">
        <v>18662</v>
      </c>
      <c r="T50" s="77"/>
      <c r="U50" s="77">
        <v>0</v>
      </c>
      <c r="V50" s="77"/>
      <c r="W50" s="77">
        <v>0</v>
      </c>
      <c r="X50" s="77"/>
      <c r="Y50" s="77">
        <v>0</v>
      </c>
      <c r="Z50" s="77"/>
      <c r="AA50" s="77">
        <v>0</v>
      </c>
      <c r="AB50" s="77"/>
      <c r="AC50" s="77">
        <v>0</v>
      </c>
      <c r="AD50" s="77"/>
      <c r="AE50" s="77">
        <v>582</v>
      </c>
      <c r="AF50" s="77"/>
      <c r="AG50" s="77">
        <v>0</v>
      </c>
      <c r="AH50" s="77"/>
      <c r="AI50" s="77">
        <f t="shared" si="0"/>
        <v>352619</v>
      </c>
      <c r="AJ50" s="24"/>
      <c r="AK50" s="15" t="str">
        <f>'Gen Rev'!A50</f>
        <v>Beach</v>
      </c>
      <c r="AL50" s="15" t="str">
        <f t="shared" si="1"/>
        <v>Beach</v>
      </c>
      <c r="AM50" s="15" t="b">
        <f t="shared" si="2"/>
        <v>1</v>
      </c>
      <c r="AN50" s="31"/>
      <c r="AO50" s="31"/>
      <c r="AP50" s="31"/>
    </row>
    <row r="51" spans="1:42" s="31" customFormat="1" ht="12" customHeight="1" x14ac:dyDescent="0.2">
      <c r="A51" s="1" t="s">
        <v>164</v>
      </c>
      <c r="B51" s="1"/>
      <c r="C51" s="1" t="s">
        <v>785</v>
      </c>
      <c r="D51" s="15"/>
      <c r="E51" s="77">
        <v>14428.9</v>
      </c>
      <c r="F51" s="77"/>
      <c r="G51" s="77">
        <v>0</v>
      </c>
      <c r="H51" s="77"/>
      <c r="I51" s="77">
        <v>30836.53</v>
      </c>
      <c r="J51" s="77"/>
      <c r="K51" s="77">
        <v>0</v>
      </c>
      <c r="L51" s="77"/>
      <c r="M51" s="77">
        <v>0</v>
      </c>
      <c r="N51" s="77"/>
      <c r="O51" s="77">
        <v>0</v>
      </c>
      <c r="P51" s="77"/>
      <c r="Q51" s="77">
        <v>120.9</v>
      </c>
      <c r="R51" s="77"/>
      <c r="S51" s="77">
        <v>1010.32</v>
      </c>
      <c r="T51" s="77"/>
      <c r="U51" s="77">
        <v>0</v>
      </c>
      <c r="V51" s="77"/>
      <c r="W51" s="77">
        <v>0</v>
      </c>
      <c r="X51" s="77"/>
      <c r="Y51" s="77">
        <v>0</v>
      </c>
      <c r="Z51" s="77"/>
      <c r="AA51" s="77">
        <v>0</v>
      </c>
      <c r="AB51" s="77"/>
      <c r="AC51" s="77">
        <v>0</v>
      </c>
      <c r="AD51" s="77"/>
      <c r="AE51" s="77">
        <v>0</v>
      </c>
      <c r="AF51" s="77"/>
      <c r="AG51" s="77">
        <v>0</v>
      </c>
      <c r="AH51" s="77"/>
      <c r="AI51" s="77">
        <f t="shared" si="0"/>
        <v>46396.65</v>
      </c>
      <c r="AJ51" s="24"/>
      <c r="AK51" s="15" t="str">
        <f>'Gen Rev'!A51</f>
        <v>Beallsville</v>
      </c>
      <c r="AL51" s="15" t="str">
        <f t="shared" si="1"/>
        <v>Beallsville</v>
      </c>
      <c r="AM51" s="15" t="b">
        <f t="shared" si="2"/>
        <v>1</v>
      </c>
    </row>
    <row r="52" spans="1:42" ht="12" customHeight="1" x14ac:dyDescent="0.2">
      <c r="A52" s="1" t="s">
        <v>193</v>
      </c>
      <c r="B52" s="1"/>
      <c r="C52" s="1" t="s">
        <v>794</v>
      </c>
      <c r="E52" s="77">
        <v>19347.39</v>
      </c>
      <c r="F52" s="77"/>
      <c r="G52" s="77">
        <v>0</v>
      </c>
      <c r="H52" s="77"/>
      <c r="I52" s="77">
        <v>79784.899999999994</v>
      </c>
      <c r="J52" s="77"/>
      <c r="K52" s="77">
        <v>0</v>
      </c>
      <c r="L52" s="77"/>
      <c r="M52" s="77">
        <v>30500</v>
      </c>
      <c r="N52" s="77"/>
      <c r="O52" s="77">
        <v>3950.81</v>
      </c>
      <c r="P52" s="77"/>
      <c r="Q52" s="77">
        <v>98.5</v>
      </c>
      <c r="R52" s="77"/>
      <c r="S52" s="77">
        <v>5682</v>
      </c>
      <c r="T52" s="77"/>
      <c r="U52" s="77">
        <v>0</v>
      </c>
      <c r="V52" s="77"/>
      <c r="W52" s="77">
        <v>0</v>
      </c>
      <c r="X52" s="77"/>
      <c r="Y52" s="77">
        <v>0</v>
      </c>
      <c r="Z52" s="77"/>
      <c r="AA52" s="77">
        <v>3000</v>
      </c>
      <c r="AB52" s="77"/>
      <c r="AC52" s="77">
        <v>15000</v>
      </c>
      <c r="AD52" s="77"/>
      <c r="AE52" s="77">
        <v>0</v>
      </c>
      <c r="AF52" s="77"/>
      <c r="AG52" s="77">
        <v>0</v>
      </c>
      <c r="AH52" s="77"/>
      <c r="AI52" s="77">
        <f t="shared" si="0"/>
        <v>157363.6</v>
      </c>
      <c r="AJ52" s="24"/>
      <c r="AK52" s="15" t="str">
        <f>'Gen Rev'!A52</f>
        <v>Beaver</v>
      </c>
      <c r="AL52" s="15" t="str">
        <f t="shared" si="1"/>
        <v>Beaver</v>
      </c>
      <c r="AM52" s="15" t="b">
        <f t="shared" si="2"/>
        <v>1</v>
      </c>
      <c r="AN52" s="31"/>
      <c r="AO52" s="31"/>
      <c r="AP52" s="31"/>
    </row>
    <row r="53" spans="1:42" ht="12" customHeight="1" x14ac:dyDescent="0.2">
      <c r="A53" s="1" t="s">
        <v>2</v>
      </c>
      <c r="B53" s="1"/>
      <c r="C53" s="1" t="s">
        <v>737</v>
      </c>
      <c r="E53" s="77">
        <v>23250.83</v>
      </c>
      <c r="F53" s="77"/>
      <c r="G53" s="77">
        <v>140817.96</v>
      </c>
      <c r="H53" s="77"/>
      <c r="I53" s="77">
        <v>38109.69</v>
      </c>
      <c r="J53" s="77"/>
      <c r="K53" s="77">
        <v>0</v>
      </c>
      <c r="L53" s="77"/>
      <c r="M53" s="77">
        <v>634</v>
      </c>
      <c r="N53" s="77"/>
      <c r="O53" s="77">
        <v>4553.01</v>
      </c>
      <c r="P53" s="77"/>
      <c r="Q53" s="77">
        <v>1229.1600000000001</v>
      </c>
      <c r="R53" s="77"/>
      <c r="S53" s="77">
        <v>7409.99</v>
      </c>
      <c r="T53" s="77"/>
      <c r="U53" s="77">
        <v>0</v>
      </c>
      <c r="V53" s="77"/>
      <c r="W53" s="77">
        <v>0</v>
      </c>
      <c r="X53" s="77"/>
      <c r="Y53" s="77">
        <v>0</v>
      </c>
      <c r="Z53" s="77"/>
      <c r="AA53" s="77">
        <v>0</v>
      </c>
      <c r="AB53" s="77"/>
      <c r="AC53" s="77">
        <v>0</v>
      </c>
      <c r="AD53" s="77"/>
      <c r="AE53" s="77">
        <v>390</v>
      </c>
      <c r="AF53" s="77"/>
      <c r="AG53" s="77">
        <v>0</v>
      </c>
      <c r="AH53" s="77"/>
      <c r="AI53" s="77">
        <f t="shared" si="0"/>
        <v>216394.63999999998</v>
      </c>
      <c r="AJ53" s="37"/>
      <c r="AK53" s="15" t="str">
        <f>'Gen Rev'!A53</f>
        <v>Beaverdam</v>
      </c>
      <c r="AL53" s="15" t="str">
        <f t="shared" si="1"/>
        <v>Beaverdam</v>
      </c>
      <c r="AM53" s="15" t="b">
        <f t="shared" si="2"/>
        <v>1</v>
      </c>
    </row>
    <row r="54" spans="1:42" ht="12" customHeight="1" x14ac:dyDescent="0.2">
      <c r="A54" s="15" t="s">
        <v>280</v>
      </c>
      <c r="C54" s="15" t="s">
        <v>279</v>
      </c>
      <c r="E54" s="77">
        <v>124936</v>
      </c>
      <c r="F54" s="77"/>
      <c r="G54" s="77">
        <v>735966</v>
      </c>
      <c r="H54" s="77"/>
      <c r="I54" s="77">
        <v>382786</v>
      </c>
      <c r="J54" s="77"/>
      <c r="K54" s="77">
        <v>0</v>
      </c>
      <c r="L54" s="77"/>
      <c r="M54" s="77">
        <f>179871+12846</f>
        <v>192717</v>
      </c>
      <c r="N54" s="77"/>
      <c r="O54" s="77">
        <v>69694</v>
      </c>
      <c r="P54" s="77"/>
      <c r="Q54" s="77">
        <v>9732</v>
      </c>
      <c r="R54" s="77"/>
      <c r="S54" s="77">
        <f>1458+33248</f>
        <v>34706</v>
      </c>
      <c r="T54" s="77"/>
      <c r="U54" s="77">
        <v>0</v>
      </c>
      <c r="V54" s="77"/>
      <c r="W54" s="77">
        <v>0</v>
      </c>
      <c r="X54" s="77"/>
      <c r="Y54" s="77">
        <v>0</v>
      </c>
      <c r="Z54" s="77"/>
      <c r="AA54" s="77">
        <v>0</v>
      </c>
      <c r="AB54" s="77"/>
      <c r="AC54" s="77">
        <v>0</v>
      </c>
      <c r="AD54" s="77"/>
      <c r="AE54" s="77">
        <v>0</v>
      </c>
      <c r="AF54" s="77"/>
      <c r="AG54" s="77">
        <v>0</v>
      </c>
      <c r="AH54" s="77"/>
      <c r="AI54" s="77">
        <f t="shared" si="0"/>
        <v>1550537</v>
      </c>
      <c r="AJ54" s="24"/>
      <c r="AK54" s="15" t="str">
        <f>'Gen Rev'!A54</f>
        <v>Bellaire</v>
      </c>
      <c r="AL54" s="15" t="str">
        <f t="shared" si="1"/>
        <v>Bellaire</v>
      </c>
      <c r="AM54" s="15" t="b">
        <f t="shared" si="2"/>
        <v>1</v>
      </c>
    </row>
    <row r="55" spans="1:42" s="31" customFormat="1" ht="12" customHeight="1" x14ac:dyDescent="0.2">
      <c r="A55" s="1" t="s">
        <v>132</v>
      </c>
      <c r="B55" s="1"/>
      <c r="C55" s="1" t="s">
        <v>775</v>
      </c>
      <c r="D55" s="15"/>
      <c r="E55" s="77">
        <v>39091.379999999997</v>
      </c>
      <c r="F55" s="77"/>
      <c r="G55" s="77">
        <v>109209.01</v>
      </c>
      <c r="H55" s="77"/>
      <c r="I55" s="77">
        <v>91645.46</v>
      </c>
      <c r="J55" s="77"/>
      <c r="K55" s="77">
        <v>0</v>
      </c>
      <c r="L55" s="77"/>
      <c r="M55" s="77">
        <v>0</v>
      </c>
      <c r="N55" s="77"/>
      <c r="O55" s="77">
        <v>7361.12</v>
      </c>
      <c r="P55" s="77"/>
      <c r="Q55" s="77">
        <v>2206.73</v>
      </c>
      <c r="R55" s="77"/>
      <c r="S55" s="77">
        <v>5970.69</v>
      </c>
      <c r="T55" s="77"/>
      <c r="U55" s="77">
        <v>0</v>
      </c>
      <c r="V55" s="77"/>
      <c r="W55" s="77">
        <v>0</v>
      </c>
      <c r="X55" s="77"/>
      <c r="Y55" s="77">
        <v>0</v>
      </c>
      <c r="Z55" s="77"/>
      <c r="AA55" s="77">
        <v>0</v>
      </c>
      <c r="AB55" s="77"/>
      <c r="AC55" s="77">
        <v>0</v>
      </c>
      <c r="AD55" s="77"/>
      <c r="AE55" s="77">
        <v>0</v>
      </c>
      <c r="AF55" s="77"/>
      <c r="AG55" s="77">
        <v>0</v>
      </c>
      <c r="AH55" s="77"/>
      <c r="AI55" s="77">
        <f t="shared" si="0"/>
        <v>255484.38999999998</v>
      </c>
      <c r="AJ55" s="24"/>
      <c r="AK55" s="15" t="str">
        <f>'Gen Rev'!A55</f>
        <v>Belle Center</v>
      </c>
      <c r="AL55" s="15" t="str">
        <f t="shared" si="1"/>
        <v>Belle Center</v>
      </c>
      <c r="AM55" s="15" t="b">
        <f t="shared" si="2"/>
        <v>1</v>
      </c>
    </row>
    <row r="56" spans="1:42" ht="12" customHeight="1" x14ac:dyDescent="0.2">
      <c r="A56" s="15" t="s">
        <v>491</v>
      </c>
      <c r="C56" s="15" t="s">
        <v>490</v>
      </c>
      <c r="E56" s="77">
        <v>10058</v>
      </c>
      <c r="F56" s="77"/>
      <c r="G56" s="77">
        <v>0</v>
      </c>
      <c r="H56" s="77"/>
      <c r="I56" s="77">
        <v>21860</v>
      </c>
      <c r="J56" s="77"/>
      <c r="K56" s="77">
        <v>0</v>
      </c>
      <c r="L56" s="77"/>
      <c r="M56" s="77">
        <v>0</v>
      </c>
      <c r="N56" s="77"/>
      <c r="O56" s="77">
        <v>0</v>
      </c>
      <c r="P56" s="77"/>
      <c r="Q56" s="77">
        <v>9</v>
      </c>
      <c r="R56" s="77"/>
      <c r="S56" s="77">
        <v>4961</v>
      </c>
      <c r="T56" s="77"/>
      <c r="U56" s="77">
        <v>0</v>
      </c>
      <c r="V56" s="77"/>
      <c r="W56" s="77">
        <v>0</v>
      </c>
      <c r="X56" s="77"/>
      <c r="Y56" s="77">
        <v>0</v>
      </c>
      <c r="Z56" s="77"/>
      <c r="AA56" s="77">
        <v>0</v>
      </c>
      <c r="AB56" s="77"/>
      <c r="AC56" s="77">
        <v>0</v>
      </c>
      <c r="AD56" s="77"/>
      <c r="AE56" s="77">
        <v>0</v>
      </c>
      <c r="AF56" s="77"/>
      <c r="AG56" s="77">
        <v>0</v>
      </c>
      <c r="AH56" s="77"/>
      <c r="AI56" s="77">
        <f t="shared" si="0"/>
        <v>36888</v>
      </c>
      <c r="AJ56" s="37"/>
      <c r="AK56" s="15" t="str">
        <f>'Gen Rev'!A56</f>
        <v>Belle Valley</v>
      </c>
      <c r="AL56" s="15" t="str">
        <f t="shared" si="1"/>
        <v>Belle Valley</v>
      </c>
      <c r="AM56" s="15" t="b">
        <f t="shared" si="2"/>
        <v>1</v>
      </c>
      <c r="AN56" s="31"/>
      <c r="AO56" s="31"/>
      <c r="AP56" s="31"/>
    </row>
    <row r="57" spans="1:42" ht="12" customHeight="1" x14ac:dyDescent="0.2">
      <c r="A57" s="1" t="s">
        <v>208</v>
      </c>
      <c r="B57" s="1"/>
      <c r="C57" s="1" t="s">
        <v>798</v>
      </c>
      <c r="E57" s="77">
        <v>431349.28</v>
      </c>
      <c r="F57" s="77"/>
      <c r="G57" s="77">
        <v>439996.86</v>
      </c>
      <c r="H57" s="77"/>
      <c r="I57" s="77">
        <v>295767.78000000003</v>
      </c>
      <c r="J57" s="77"/>
      <c r="K57" s="77">
        <v>0</v>
      </c>
      <c r="L57" s="77"/>
      <c r="M57" s="77">
        <v>64656.41</v>
      </c>
      <c r="N57" s="77"/>
      <c r="O57" s="77">
        <v>56313.25</v>
      </c>
      <c r="P57" s="77"/>
      <c r="Q57" s="77">
        <v>489.99</v>
      </c>
      <c r="R57" s="77"/>
      <c r="S57" s="77">
        <v>32919.58</v>
      </c>
      <c r="T57" s="77"/>
      <c r="U57" s="77">
        <v>0</v>
      </c>
      <c r="V57" s="77"/>
      <c r="W57" s="77">
        <v>0</v>
      </c>
      <c r="X57" s="77"/>
      <c r="Y57" s="77">
        <v>0</v>
      </c>
      <c r="Z57" s="77"/>
      <c r="AA57" s="77">
        <v>556449.81999999995</v>
      </c>
      <c r="AB57" s="77"/>
      <c r="AC57" s="77">
        <v>0</v>
      </c>
      <c r="AD57" s="77"/>
      <c r="AE57" s="77">
        <f>1920+3494.04</f>
        <v>5414.04</v>
      </c>
      <c r="AF57" s="77"/>
      <c r="AG57" s="77">
        <v>16066.53</v>
      </c>
      <c r="AH57" s="77"/>
      <c r="AI57" s="77">
        <f t="shared" si="0"/>
        <v>1899423.5399999998</v>
      </c>
      <c r="AJ57" s="24"/>
      <c r="AK57" s="15" t="str">
        <f>'Gen Rev'!A57</f>
        <v>Bellville</v>
      </c>
      <c r="AL57" s="15" t="str">
        <f t="shared" si="1"/>
        <v>Bellville</v>
      </c>
      <c r="AM57" s="15" t="b">
        <f t="shared" si="2"/>
        <v>1</v>
      </c>
      <c r="AN57" s="32"/>
      <c r="AO57" s="32"/>
      <c r="AP57" s="32"/>
    </row>
    <row r="58" spans="1:42" ht="12" customHeight="1" x14ac:dyDescent="0.2">
      <c r="A58" s="1" t="s">
        <v>279</v>
      </c>
      <c r="B58" s="1"/>
      <c r="C58" s="1" t="s">
        <v>279</v>
      </c>
      <c r="E58" s="77">
        <v>24696.27</v>
      </c>
      <c r="F58" s="77"/>
      <c r="G58" s="77">
        <v>0</v>
      </c>
      <c r="H58" s="77"/>
      <c r="I58" s="77">
        <v>66638.31</v>
      </c>
      <c r="J58" s="77"/>
      <c r="K58" s="77">
        <v>0</v>
      </c>
      <c r="L58" s="77"/>
      <c r="M58" s="77">
        <v>99101.9</v>
      </c>
      <c r="N58" s="77"/>
      <c r="O58" s="77">
        <v>5058.79</v>
      </c>
      <c r="P58" s="77"/>
      <c r="Q58" s="77">
        <v>1111.21</v>
      </c>
      <c r="R58" s="77"/>
      <c r="S58" s="77">
        <v>1431.77</v>
      </c>
      <c r="T58" s="77"/>
      <c r="U58" s="77">
        <v>0</v>
      </c>
      <c r="V58" s="77"/>
      <c r="W58" s="77">
        <v>0</v>
      </c>
      <c r="X58" s="77"/>
      <c r="Y58" s="77">
        <v>0</v>
      </c>
      <c r="Z58" s="77"/>
      <c r="AA58" s="77">
        <v>351.08</v>
      </c>
      <c r="AB58" s="77"/>
      <c r="AC58" s="77">
        <v>0</v>
      </c>
      <c r="AD58" s="77"/>
      <c r="AE58" s="77">
        <v>0</v>
      </c>
      <c r="AF58" s="77"/>
      <c r="AG58" s="77">
        <v>0</v>
      </c>
      <c r="AH58" s="77"/>
      <c r="AI58" s="77">
        <f t="shared" si="0"/>
        <v>198389.32999999996</v>
      </c>
      <c r="AJ58" s="24"/>
      <c r="AK58" s="15" t="str">
        <f>'Gen Rev'!A58</f>
        <v>Belmont</v>
      </c>
      <c r="AL58" s="15" t="str">
        <f t="shared" si="1"/>
        <v>Belmont</v>
      </c>
      <c r="AM58" s="15" t="b">
        <f t="shared" si="2"/>
        <v>1</v>
      </c>
      <c r="AN58" s="31"/>
      <c r="AO58" s="31"/>
      <c r="AP58" s="31"/>
    </row>
    <row r="59" spans="1:42" ht="12" customHeight="1" x14ac:dyDescent="0.2">
      <c r="A59" s="1" t="s">
        <v>916</v>
      </c>
      <c r="B59" s="1"/>
      <c r="C59" s="1" t="s">
        <v>513</v>
      </c>
      <c r="E59" s="77">
        <v>6095.81</v>
      </c>
      <c r="F59" s="77"/>
      <c r="G59" s="77">
        <v>0</v>
      </c>
      <c r="H59" s="77"/>
      <c r="I59" s="77">
        <v>34368.589999999997</v>
      </c>
      <c r="J59" s="77"/>
      <c r="K59" s="77">
        <v>0</v>
      </c>
      <c r="L59" s="77"/>
      <c r="M59" s="77">
        <v>0</v>
      </c>
      <c r="N59" s="77"/>
      <c r="O59" s="77">
        <v>0</v>
      </c>
      <c r="P59" s="77"/>
      <c r="Q59" s="77">
        <v>168.79</v>
      </c>
      <c r="R59" s="77"/>
      <c r="S59" s="77">
        <v>1821.38</v>
      </c>
      <c r="T59" s="77"/>
      <c r="U59" s="77">
        <v>0</v>
      </c>
      <c r="V59" s="77"/>
      <c r="W59" s="77">
        <v>0</v>
      </c>
      <c r="X59" s="77"/>
      <c r="Y59" s="77">
        <v>0</v>
      </c>
      <c r="Z59" s="77"/>
      <c r="AA59" s="77">
        <v>1676.12</v>
      </c>
      <c r="AB59" s="77"/>
      <c r="AC59" s="77">
        <v>0</v>
      </c>
      <c r="AD59" s="77"/>
      <c r="AE59" s="77">
        <v>0</v>
      </c>
      <c r="AF59" s="77"/>
      <c r="AG59" s="77">
        <v>0</v>
      </c>
      <c r="AH59" s="77"/>
      <c r="AI59" s="77">
        <f t="shared" si="0"/>
        <v>44130.689999999995</v>
      </c>
      <c r="AJ59" s="24"/>
      <c r="AK59" s="15" t="str">
        <f>'Gen Rev'!A59</f>
        <v>Belmore</v>
      </c>
      <c r="AL59" s="15" t="str">
        <f t="shared" si="1"/>
        <v>Belmore</v>
      </c>
      <c r="AM59" s="15" t="b">
        <f t="shared" si="2"/>
        <v>1</v>
      </c>
    </row>
    <row r="60" spans="1:42" ht="12" customHeight="1" x14ac:dyDescent="0.2">
      <c r="A60" s="1" t="s">
        <v>143</v>
      </c>
      <c r="B60" s="1"/>
      <c r="C60" s="1" t="s">
        <v>779</v>
      </c>
      <c r="E60" s="77">
        <v>151798.49</v>
      </c>
      <c r="F60" s="77"/>
      <c r="G60" s="77">
        <v>0</v>
      </c>
      <c r="H60" s="77"/>
      <c r="I60" s="77">
        <v>81057.179999999993</v>
      </c>
      <c r="J60" s="77"/>
      <c r="K60" s="77">
        <v>0</v>
      </c>
      <c r="L60" s="77"/>
      <c r="M60" s="77">
        <v>65772.039999999994</v>
      </c>
      <c r="N60" s="77"/>
      <c r="O60" s="77">
        <v>14858.53</v>
      </c>
      <c r="P60" s="77"/>
      <c r="Q60" s="77">
        <v>55.86</v>
      </c>
      <c r="R60" s="77"/>
      <c r="S60" s="77">
        <v>62047.85</v>
      </c>
      <c r="T60" s="77"/>
      <c r="U60" s="77">
        <v>0</v>
      </c>
      <c r="V60" s="77"/>
      <c r="W60" s="77">
        <v>0</v>
      </c>
      <c r="X60" s="77"/>
      <c r="Y60" s="77">
        <v>0</v>
      </c>
      <c r="Z60" s="77"/>
      <c r="AA60" s="77">
        <v>0</v>
      </c>
      <c r="AB60" s="77"/>
      <c r="AC60" s="77">
        <v>0</v>
      </c>
      <c r="AD60" s="77"/>
      <c r="AE60" s="77">
        <v>0</v>
      </c>
      <c r="AF60" s="77"/>
      <c r="AG60" s="77">
        <v>0</v>
      </c>
      <c r="AH60" s="77"/>
      <c r="AI60" s="77">
        <f t="shared" si="0"/>
        <v>375589.94999999995</v>
      </c>
      <c r="AJ60" s="24"/>
      <c r="AK60" s="15" t="str">
        <f>'Gen Rev'!A60</f>
        <v>Beloit</v>
      </c>
      <c r="AL60" s="15" t="str">
        <f t="shared" si="1"/>
        <v>Beloit</v>
      </c>
      <c r="AM60" s="15" t="b">
        <f t="shared" si="2"/>
        <v>1</v>
      </c>
    </row>
    <row r="61" spans="1:42" s="31" customFormat="1" ht="12" customHeight="1" x14ac:dyDescent="0.2">
      <c r="A61" s="15" t="s">
        <v>315</v>
      </c>
      <c r="B61" s="15"/>
      <c r="C61" s="15" t="s">
        <v>316</v>
      </c>
      <c r="D61" s="15"/>
      <c r="E61" s="77">
        <v>551521</v>
      </c>
      <c r="F61" s="77"/>
      <c r="G61" s="77">
        <v>861353</v>
      </c>
      <c r="H61" s="77"/>
      <c r="I61" s="77">
        <v>339858</v>
      </c>
      <c r="J61" s="77"/>
      <c r="K61" s="77">
        <v>120245</v>
      </c>
      <c r="L61" s="77"/>
      <c r="M61" s="77">
        <v>9336</v>
      </c>
      <c r="N61" s="77"/>
      <c r="O61" s="77">
        <v>33943</v>
      </c>
      <c r="P61" s="77"/>
      <c r="Q61" s="77">
        <v>6877</v>
      </c>
      <c r="R61" s="77"/>
      <c r="S61" s="77">
        <v>52618</v>
      </c>
      <c r="T61" s="77"/>
      <c r="U61" s="77">
        <v>0</v>
      </c>
      <c r="V61" s="77"/>
      <c r="W61" s="77">
        <v>0</v>
      </c>
      <c r="X61" s="77"/>
      <c r="Y61" s="77">
        <v>1000</v>
      </c>
      <c r="Z61" s="77"/>
      <c r="AA61" s="77">
        <v>169302</v>
      </c>
      <c r="AB61" s="77"/>
      <c r="AC61" s="77">
        <v>125000</v>
      </c>
      <c r="AD61" s="77"/>
      <c r="AE61" s="77">
        <v>0</v>
      </c>
      <c r="AF61" s="77"/>
      <c r="AG61" s="77">
        <v>0</v>
      </c>
      <c r="AH61" s="77"/>
      <c r="AI61" s="77">
        <f t="shared" si="0"/>
        <v>2271053</v>
      </c>
      <c r="AJ61" s="24"/>
      <c r="AK61" s="15" t="str">
        <f>'Gen Rev'!A61</f>
        <v>Bentleyville</v>
      </c>
      <c r="AL61" s="15" t="str">
        <f t="shared" si="1"/>
        <v>Bentleyville</v>
      </c>
      <c r="AM61" s="15" t="b">
        <f t="shared" si="2"/>
        <v>1</v>
      </c>
      <c r="AN61" s="30"/>
      <c r="AO61" s="30"/>
      <c r="AP61" s="30"/>
    </row>
    <row r="62" spans="1:42" s="31" customFormat="1" ht="12" customHeight="1" x14ac:dyDescent="0.2">
      <c r="A62" s="15" t="s">
        <v>878</v>
      </c>
      <c r="B62" s="15"/>
      <c r="C62" s="15" t="s">
        <v>388</v>
      </c>
      <c r="D62" s="15"/>
      <c r="E62" s="77">
        <v>4831</v>
      </c>
      <c r="F62" s="77"/>
      <c r="G62" s="77">
        <v>0</v>
      </c>
      <c r="H62" s="77"/>
      <c r="I62" s="77">
        <f>28889+21096</f>
        <v>49985</v>
      </c>
      <c r="J62" s="77"/>
      <c r="K62" s="77">
        <v>8850</v>
      </c>
      <c r="L62" s="77"/>
      <c r="M62" s="77">
        <v>1160</v>
      </c>
      <c r="N62" s="77"/>
      <c r="O62" s="77">
        <v>0</v>
      </c>
      <c r="P62" s="77"/>
      <c r="Q62" s="77">
        <f>253+81</f>
        <v>334</v>
      </c>
      <c r="R62" s="77"/>
      <c r="S62" s="77">
        <f>641+20191</f>
        <v>20832</v>
      </c>
      <c r="T62" s="77"/>
      <c r="U62" s="77">
        <v>0</v>
      </c>
      <c r="V62" s="77"/>
      <c r="W62" s="77">
        <v>0</v>
      </c>
      <c r="X62" s="77"/>
      <c r="Y62" s="77">
        <v>0</v>
      </c>
      <c r="Z62" s="77"/>
      <c r="AA62" s="77">
        <v>0</v>
      </c>
      <c r="AB62" s="77"/>
      <c r="AC62" s="77">
        <v>0</v>
      </c>
      <c r="AD62" s="77"/>
      <c r="AE62" s="77">
        <v>0</v>
      </c>
      <c r="AF62" s="77"/>
      <c r="AG62" s="77">
        <v>0</v>
      </c>
      <c r="AH62" s="77"/>
      <c r="AI62" s="77">
        <f t="shared" si="0"/>
        <v>85992</v>
      </c>
      <c r="AJ62" s="24"/>
      <c r="AK62" s="15" t="str">
        <f>'Gen Rev'!A62</f>
        <v>Benton Ridge</v>
      </c>
      <c r="AL62" s="15" t="str">
        <f t="shared" si="1"/>
        <v>Benton Ridge</v>
      </c>
      <c r="AM62" s="15" t="b">
        <f t="shared" si="2"/>
        <v>1</v>
      </c>
    </row>
    <row r="63" spans="1:42" s="31" customFormat="1" ht="12" customHeight="1" x14ac:dyDescent="0.2">
      <c r="A63" s="1" t="s">
        <v>422</v>
      </c>
      <c r="B63" s="1"/>
      <c r="C63" s="1" t="s">
        <v>420</v>
      </c>
      <c r="D63" s="15"/>
      <c r="E63" s="77">
        <v>34254.21</v>
      </c>
      <c r="F63" s="77"/>
      <c r="G63" s="77">
        <v>0</v>
      </c>
      <c r="H63" s="77"/>
      <c r="I63" s="77">
        <v>60940.03</v>
      </c>
      <c r="J63" s="77"/>
      <c r="K63" s="77">
        <v>0</v>
      </c>
      <c r="L63" s="77"/>
      <c r="M63" s="77">
        <v>0</v>
      </c>
      <c r="N63" s="77"/>
      <c r="O63" s="77">
        <v>4161</v>
      </c>
      <c r="P63" s="77"/>
      <c r="Q63" s="77">
        <v>26.23</v>
      </c>
      <c r="R63" s="77"/>
      <c r="S63" s="77">
        <v>11169.72</v>
      </c>
      <c r="T63" s="77"/>
      <c r="U63" s="77">
        <v>0</v>
      </c>
      <c r="V63" s="77"/>
      <c r="W63" s="77">
        <v>0</v>
      </c>
      <c r="X63" s="77"/>
      <c r="Y63" s="77">
        <v>0</v>
      </c>
      <c r="Z63" s="77"/>
      <c r="AA63" s="77">
        <v>0</v>
      </c>
      <c r="AB63" s="77"/>
      <c r="AC63" s="77">
        <v>0</v>
      </c>
      <c r="AD63" s="77"/>
      <c r="AE63" s="77">
        <v>4287.96</v>
      </c>
      <c r="AF63" s="77"/>
      <c r="AG63" s="77">
        <v>0</v>
      </c>
      <c r="AH63" s="77"/>
      <c r="AI63" s="77">
        <f t="shared" si="0"/>
        <v>114839.15</v>
      </c>
      <c r="AJ63" s="24"/>
      <c r="AK63" s="15" t="str">
        <f>'Gen Rev'!A63</f>
        <v>Bergholz</v>
      </c>
      <c r="AL63" s="15" t="str">
        <f t="shared" si="1"/>
        <v>Bergholz</v>
      </c>
      <c r="AM63" s="15" t="b">
        <f t="shared" si="2"/>
        <v>1</v>
      </c>
    </row>
    <row r="64" spans="1:42" ht="12" customHeight="1" x14ac:dyDescent="0.2">
      <c r="A64" s="1" t="s">
        <v>139</v>
      </c>
      <c r="B64" s="1"/>
      <c r="C64" s="1" t="s">
        <v>777</v>
      </c>
      <c r="E64" s="77">
        <v>22041.73</v>
      </c>
      <c r="F64" s="77"/>
      <c r="G64" s="77">
        <v>0</v>
      </c>
      <c r="H64" s="77"/>
      <c r="I64" s="77">
        <v>32381.09</v>
      </c>
      <c r="J64" s="77"/>
      <c r="K64" s="77">
        <v>0</v>
      </c>
      <c r="L64" s="77"/>
      <c r="M64" s="77">
        <v>20984.21</v>
      </c>
      <c r="N64" s="77"/>
      <c r="O64" s="77">
        <v>48518</v>
      </c>
      <c r="P64" s="77"/>
      <c r="Q64" s="77">
        <v>58.19</v>
      </c>
      <c r="R64" s="77"/>
      <c r="S64" s="77">
        <v>3701.9</v>
      </c>
      <c r="T64" s="77"/>
      <c r="U64" s="77">
        <v>0</v>
      </c>
      <c r="V64" s="77"/>
      <c r="W64" s="77">
        <v>0</v>
      </c>
      <c r="X64" s="77"/>
      <c r="Y64" s="77">
        <v>0</v>
      </c>
      <c r="Z64" s="77"/>
      <c r="AA64" s="77">
        <v>0</v>
      </c>
      <c r="AB64" s="77"/>
      <c r="AC64" s="77">
        <v>0</v>
      </c>
      <c r="AD64" s="77"/>
      <c r="AE64" s="77">
        <v>0</v>
      </c>
      <c r="AF64" s="77"/>
      <c r="AG64" s="77">
        <v>0</v>
      </c>
      <c r="AH64" s="77"/>
      <c r="AI64" s="77">
        <f t="shared" si="0"/>
        <v>127685.12</v>
      </c>
      <c r="AJ64" s="24"/>
      <c r="AK64" s="15" t="str">
        <f>'Gen Rev'!A64</f>
        <v>Berkey</v>
      </c>
      <c r="AL64" s="15" t="str">
        <f t="shared" si="1"/>
        <v>Berkey</v>
      </c>
      <c r="AM64" s="15" t="b">
        <f t="shared" si="2"/>
        <v>1</v>
      </c>
      <c r="AN64" s="31"/>
      <c r="AO64" s="31"/>
      <c r="AP64" s="31"/>
    </row>
    <row r="65" spans="1:42" ht="12" customHeight="1" x14ac:dyDescent="0.2">
      <c r="A65" s="1" t="s">
        <v>59</v>
      </c>
      <c r="B65" s="1"/>
      <c r="C65" s="1" t="s">
        <v>755</v>
      </c>
      <c r="E65" s="77">
        <v>115205.22</v>
      </c>
      <c r="F65" s="77"/>
      <c r="G65" s="77">
        <v>0</v>
      </c>
      <c r="H65" s="77"/>
      <c r="I65" s="77">
        <v>93218.59</v>
      </c>
      <c r="J65" s="77"/>
      <c r="K65" s="77">
        <v>0</v>
      </c>
      <c r="L65" s="77"/>
      <c r="M65" s="77">
        <v>0</v>
      </c>
      <c r="N65" s="77"/>
      <c r="O65" s="77">
        <v>9138.17</v>
      </c>
      <c r="P65" s="77"/>
      <c r="Q65" s="77">
        <v>253.78</v>
      </c>
      <c r="R65" s="77"/>
      <c r="S65" s="77">
        <v>5323.83</v>
      </c>
      <c r="T65" s="77"/>
      <c r="U65" s="77">
        <v>0</v>
      </c>
      <c r="V65" s="77"/>
      <c r="W65" s="77">
        <v>0</v>
      </c>
      <c r="X65" s="77"/>
      <c r="Y65" s="77">
        <v>0</v>
      </c>
      <c r="Z65" s="77"/>
      <c r="AA65" s="77">
        <v>0</v>
      </c>
      <c r="AB65" s="77"/>
      <c r="AC65" s="77">
        <v>0</v>
      </c>
      <c r="AD65" s="77"/>
      <c r="AE65" s="77">
        <v>0</v>
      </c>
      <c r="AF65" s="77"/>
      <c r="AG65" s="77">
        <v>0</v>
      </c>
      <c r="AH65" s="77"/>
      <c r="AI65" s="77">
        <f t="shared" si="0"/>
        <v>223139.59</v>
      </c>
      <c r="AJ65" s="24"/>
      <c r="AK65" s="15" t="str">
        <f>'Gen Rev'!A65</f>
        <v>Berlin Heights</v>
      </c>
      <c r="AL65" s="15" t="str">
        <f t="shared" si="1"/>
        <v>Berlin Heights</v>
      </c>
      <c r="AM65" s="15" t="b">
        <f t="shared" si="2"/>
        <v>1</v>
      </c>
      <c r="AN65" s="31"/>
      <c r="AO65" s="31"/>
      <c r="AP65" s="31"/>
    </row>
    <row r="66" spans="1:42" ht="12" customHeight="1" x14ac:dyDescent="0.2">
      <c r="A66" s="1" t="s">
        <v>296</v>
      </c>
      <c r="B66" s="1"/>
      <c r="C66" s="1" t="s">
        <v>295</v>
      </c>
      <c r="E66" s="77">
        <v>327560.67</v>
      </c>
      <c r="F66" s="77"/>
      <c r="G66" s="77">
        <v>0</v>
      </c>
      <c r="H66" s="77"/>
      <c r="I66" s="77">
        <v>258211.25</v>
      </c>
      <c r="J66" s="77"/>
      <c r="K66" s="77">
        <v>0</v>
      </c>
      <c r="L66" s="77"/>
      <c r="M66" s="77">
        <v>142990</v>
      </c>
      <c r="N66" s="77"/>
      <c r="O66" s="77">
        <v>59626.89</v>
      </c>
      <c r="P66" s="77"/>
      <c r="Q66" s="77">
        <v>12903.13</v>
      </c>
      <c r="R66" s="77"/>
      <c r="S66" s="77">
        <v>17015.240000000002</v>
      </c>
      <c r="T66" s="77"/>
      <c r="U66" s="77">
        <v>0</v>
      </c>
      <c r="V66" s="77"/>
      <c r="W66" s="77">
        <v>0</v>
      </c>
      <c r="X66" s="77"/>
      <c r="Y66" s="77">
        <v>250</v>
      </c>
      <c r="Z66" s="77"/>
      <c r="AA66" s="77">
        <v>0</v>
      </c>
      <c r="AB66" s="77"/>
      <c r="AC66" s="77">
        <v>0</v>
      </c>
      <c r="AD66" s="77"/>
      <c r="AE66" s="77">
        <v>0</v>
      </c>
      <c r="AF66" s="77"/>
      <c r="AG66" s="77">
        <v>0</v>
      </c>
      <c r="AH66" s="77"/>
      <c r="AI66" s="77">
        <f t="shared" si="0"/>
        <v>818557.17999999993</v>
      </c>
      <c r="AJ66" s="24"/>
      <c r="AK66" s="15" t="str">
        <f>'Gen Rev'!A66</f>
        <v>Bethel</v>
      </c>
      <c r="AL66" s="15" t="str">
        <f t="shared" si="1"/>
        <v>Bethel</v>
      </c>
      <c r="AM66" s="15" t="b">
        <f t="shared" si="2"/>
        <v>1</v>
      </c>
    </row>
    <row r="67" spans="1:42" s="31" customFormat="1" ht="12" customHeight="1" x14ac:dyDescent="0.2">
      <c r="A67" s="1" t="s">
        <v>15</v>
      </c>
      <c r="B67" s="1"/>
      <c r="C67" s="1" t="s">
        <v>741</v>
      </c>
      <c r="D67" s="15"/>
      <c r="E67" s="77">
        <v>82943.679999999993</v>
      </c>
      <c r="F67" s="77"/>
      <c r="G67" s="77">
        <v>0</v>
      </c>
      <c r="H67" s="77"/>
      <c r="I67" s="77">
        <v>135874.07</v>
      </c>
      <c r="J67" s="77"/>
      <c r="K67" s="77">
        <v>0</v>
      </c>
      <c r="L67" s="77"/>
      <c r="M67" s="77">
        <v>291791.71000000002</v>
      </c>
      <c r="N67" s="77"/>
      <c r="O67" s="77">
        <v>7172</v>
      </c>
      <c r="P67" s="77"/>
      <c r="Q67" s="77">
        <v>1024.2</v>
      </c>
      <c r="R67" s="77"/>
      <c r="S67" s="77">
        <v>38812.19</v>
      </c>
      <c r="T67" s="77"/>
      <c r="U67" s="77">
        <v>0</v>
      </c>
      <c r="V67" s="77"/>
      <c r="W67" s="77">
        <v>0</v>
      </c>
      <c r="X67" s="77"/>
      <c r="Y67" s="77">
        <v>0</v>
      </c>
      <c r="Z67" s="77"/>
      <c r="AA67" s="77">
        <v>8000</v>
      </c>
      <c r="AB67" s="77"/>
      <c r="AC67" s="77">
        <v>17850</v>
      </c>
      <c r="AD67" s="77"/>
      <c r="AE67" s="77">
        <v>0</v>
      </c>
      <c r="AF67" s="77"/>
      <c r="AG67" s="77">
        <v>0</v>
      </c>
      <c r="AH67" s="77"/>
      <c r="AI67" s="77">
        <f t="shared" si="0"/>
        <v>583467.85000000009</v>
      </c>
      <c r="AJ67" s="24"/>
      <c r="AK67" s="15" t="str">
        <f>'Gen Rev'!A67</f>
        <v>Bethesda</v>
      </c>
      <c r="AL67" s="15" t="str">
        <f t="shared" si="1"/>
        <v>Bethesda</v>
      </c>
      <c r="AM67" s="15" t="b">
        <f t="shared" si="2"/>
        <v>1</v>
      </c>
      <c r="AN67" s="15"/>
      <c r="AO67" s="15"/>
      <c r="AP67" s="15"/>
    </row>
    <row r="68" spans="1:42" ht="12" customHeight="1" x14ac:dyDescent="0.2">
      <c r="A68" s="1" t="s">
        <v>531</v>
      </c>
      <c r="B68" s="1"/>
      <c r="C68" s="1" t="s">
        <v>532</v>
      </c>
      <c r="E68" s="77">
        <v>57625.98</v>
      </c>
      <c r="F68" s="77"/>
      <c r="G68" s="77">
        <v>129854.81</v>
      </c>
      <c r="H68" s="77"/>
      <c r="I68" s="77">
        <v>99138.81</v>
      </c>
      <c r="J68" s="77"/>
      <c r="K68" s="77">
        <v>0</v>
      </c>
      <c r="L68" s="77"/>
      <c r="M68" s="77">
        <v>82220.03</v>
      </c>
      <c r="N68" s="77"/>
      <c r="O68" s="77">
        <v>29309.19</v>
      </c>
      <c r="P68" s="77"/>
      <c r="Q68" s="77">
        <v>2562.1999999999998</v>
      </c>
      <c r="R68" s="77"/>
      <c r="S68" s="77">
        <v>4393.08</v>
      </c>
      <c r="T68" s="77"/>
      <c r="U68" s="77">
        <v>0</v>
      </c>
      <c r="V68" s="77"/>
      <c r="W68" s="77">
        <v>0</v>
      </c>
      <c r="X68" s="77"/>
      <c r="Y68" s="77">
        <v>0</v>
      </c>
      <c r="Z68" s="77"/>
      <c r="AA68" s="77">
        <v>0</v>
      </c>
      <c r="AB68" s="77"/>
      <c r="AC68" s="77">
        <v>0</v>
      </c>
      <c r="AD68" s="77"/>
      <c r="AE68" s="77">
        <v>0</v>
      </c>
      <c r="AF68" s="77"/>
      <c r="AG68" s="77">
        <v>0</v>
      </c>
      <c r="AH68" s="77"/>
      <c r="AI68" s="77">
        <f t="shared" si="0"/>
        <v>405104.10000000003</v>
      </c>
      <c r="AJ68" s="24"/>
      <c r="AK68" s="15" t="str">
        <f>'Gen Rev'!A68</f>
        <v>Bettsville</v>
      </c>
      <c r="AL68" s="15" t="str">
        <f t="shared" si="1"/>
        <v>Bettsville</v>
      </c>
      <c r="AM68" s="15" t="b">
        <f t="shared" si="2"/>
        <v>1</v>
      </c>
    </row>
    <row r="69" spans="1:42" ht="12" customHeight="1" x14ac:dyDescent="0.2">
      <c r="A69" s="1" t="s">
        <v>584</v>
      </c>
      <c r="B69" s="1"/>
      <c r="C69" s="1" t="s">
        <v>585</v>
      </c>
      <c r="E69" s="77">
        <v>48027.71</v>
      </c>
      <c r="F69" s="77"/>
      <c r="G69" s="77">
        <v>290488.7</v>
      </c>
      <c r="H69" s="77"/>
      <c r="I69" s="77">
        <v>311881.71999999997</v>
      </c>
      <c r="J69" s="77"/>
      <c r="K69" s="77">
        <v>0</v>
      </c>
      <c r="L69" s="77"/>
      <c r="M69" s="77">
        <v>138495.74</v>
      </c>
      <c r="N69" s="77"/>
      <c r="O69" s="77">
        <v>11763</v>
      </c>
      <c r="P69" s="77"/>
      <c r="Q69" s="77">
        <v>5352.76</v>
      </c>
      <c r="R69" s="77"/>
      <c r="S69" s="77">
        <v>12369.84</v>
      </c>
      <c r="T69" s="77"/>
      <c r="U69" s="77">
        <v>0</v>
      </c>
      <c r="V69" s="77"/>
      <c r="W69" s="77">
        <v>0</v>
      </c>
      <c r="X69" s="77"/>
      <c r="Y69" s="77">
        <v>0</v>
      </c>
      <c r="Z69" s="77"/>
      <c r="AA69" s="77">
        <v>150059.91</v>
      </c>
      <c r="AB69" s="77"/>
      <c r="AC69" s="77">
        <v>20000</v>
      </c>
      <c r="AD69" s="77"/>
      <c r="AE69" s="77">
        <v>0</v>
      </c>
      <c r="AF69" s="77"/>
      <c r="AG69" s="77">
        <v>18050.18</v>
      </c>
      <c r="AH69" s="77"/>
      <c r="AI69" s="77">
        <f t="shared" si="0"/>
        <v>1006489.56</v>
      </c>
      <c r="AJ69" s="24"/>
      <c r="AK69" s="15" t="str">
        <f>'Gen Rev'!A69</f>
        <v>Beverly</v>
      </c>
      <c r="AL69" s="15" t="str">
        <f t="shared" si="1"/>
        <v>Beverly</v>
      </c>
      <c r="AM69" s="15" t="b">
        <f t="shared" si="2"/>
        <v>1</v>
      </c>
    </row>
    <row r="70" spans="1:42" ht="12" customHeight="1" x14ac:dyDescent="0.2">
      <c r="A70" s="1" t="s">
        <v>252</v>
      </c>
      <c r="B70" s="1"/>
      <c r="C70" s="1" t="s">
        <v>812</v>
      </c>
      <c r="E70" s="77">
        <v>4657.51</v>
      </c>
      <c r="F70" s="77"/>
      <c r="G70" s="77">
        <v>0</v>
      </c>
      <c r="H70" s="77"/>
      <c r="I70" s="77">
        <v>23992.33</v>
      </c>
      <c r="J70" s="77"/>
      <c r="K70" s="77">
        <v>0</v>
      </c>
      <c r="L70" s="77"/>
      <c r="M70" s="77">
        <v>0</v>
      </c>
      <c r="N70" s="77"/>
      <c r="O70" s="77">
        <v>2327</v>
      </c>
      <c r="P70" s="77"/>
      <c r="Q70" s="77">
        <v>693.89</v>
      </c>
      <c r="R70" s="77"/>
      <c r="S70" s="77">
        <v>2981.37</v>
      </c>
      <c r="T70" s="77"/>
      <c r="U70" s="77">
        <v>0</v>
      </c>
      <c r="V70" s="77"/>
      <c r="W70" s="77">
        <v>0</v>
      </c>
      <c r="X70" s="77"/>
      <c r="Y70" s="77">
        <v>0</v>
      </c>
      <c r="Z70" s="77"/>
      <c r="AA70" s="77">
        <v>0</v>
      </c>
      <c r="AB70" s="77"/>
      <c r="AC70" s="77">
        <v>0</v>
      </c>
      <c r="AD70" s="77"/>
      <c r="AE70" s="77">
        <v>0</v>
      </c>
      <c r="AF70" s="77"/>
      <c r="AG70" s="77">
        <v>0</v>
      </c>
      <c r="AH70" s="77"/>
      <c r="AI70" s="77">
        <f t="shared" si="0"/>
        <v>34652.100000000006</v>
      </c>
      <c r="AJ70" s="24"/>
      <c r="AK70" s="15" t="str">
        <f>'Gen Rev'!A70</f>
        <v>Blakeslee</v>
      </c>
      <c r="AL70" s="15" t="str">
        <f t="shared" si="1"/>
        <v>Blakeslee</v>
      </c>
      <c r="AM70" s="15" t="b">
        <f t="shared" si="2"/>
        <v>1</v>
      </c>
    </row>
    <row r="71" spans="1:42" s="31" customFormat="1" ht="12" customHeight="1" x14ac:dyDescent="0.2">
      <c r="A71" s="15" t="s">
        <v>910</v>
      </c>
      <c r="B71" s="15"/>
      <c r="C71" s="15" t="s">
        <v>299</v>
      </c>
      <c r="D71" s="15"/>
      <c r="E71" s="77">
        <v>1043025</v>
      </c>
      <c r="F71" s="77"/>
      <c r="G71" s="77">
        <v>0</v>
      </c>
      <c r="H71" s="77"/>
      <c r="I71" s="77">
        <v>411121</v>
      </c>
      <c r="J71" s="77"/>
      <c r="K71" s="77">
        <v>283291</v>
      </c>
      <c r="L71" s="77"/>
      <c r="M71" s="77">
        <v>4710</v>
      </c>
      <c r="N71" s="77"/>
      <c r="O71" s="77">
        <v>49773</v>
      </c>
      <c r="P71" s="77"/>
      <c r="Q71" s="77">
        <v>114637</v>
      </c>
      <c r="R71" s="77"/>
      <c r="S71" s="77">
        <v>513383</v>
      </c>
      <c r="T71" s="77"/>
      <c r="U71" s="77">
        <v>0</v>
      </c>
      <c r="V71" s="77"/>
      <c r="W71" s="77">
        <v>0</v>
      </c>
      <c r="X71" s="77"/>
      <c r="Y71" s="77">
        <v>0</v>
      </c>
      <c r="Z71" s="77"/>
      <c r="AA71" s="77">
        <v>342093</v>
      </c>
      <c r="AB71" s="77"/>
      <c r="AC71" s="77">
        <v>0</v>
      </c>
      <c r="AD71" s="77"/>
      <c r="AE71" s="77">
        <v>2510117</v>
      </c>
      <c r="AF71" s="77"/>
      <c r="AG71" s="77">
        <v>0</v>
      </c>
      <c r="AH71" s="77"/>
      <c r="AI71" s="77">
        <f t="shared" si="0"/>
        <v>5272150</v>
      </c>
      <c r="AJ71" s="24"/>
      <c r="AK71" s="15" t="str">
        <f>'Gen Rev'!A71</f>
        <v>Blanchester</v>
      </c>
      <c r="AL71" s="15" t="str">
        <f t="shared" si="1"/>
        <v>Blanchester</v>
      </c>
      <c r="AM71" s="15" t="b">
        <f t="shared" si="2"/>
        <v>1</v>
      </c>
      <c r="AN71" s="15"/>
      <c r="AO71" s="15"/>
      <c r="AP71" s="15"/>
    </row>
    <row r="72" spans="1:42" s="31" customFormat="1" ht="12" customHeight="1" x14ac:dyDescent="0.2">
      <c r="A72" s="15" t="s">
        <v>602</v>
      </c>
      <c r="B72" s="15"/>
      <c r="C72" s="15" t="s">
        <v>601</v>
      </c>
      <c r="D72" s="15"/>
      <c r="E72" s="77">
        <v>28444</v>
      </c>
      <c r="F72" s="77"/>
      <c r="G72" s="77">
        <v>74342</v>
      </c>
      <c r="H72" s="77"/>
      <c r="I72" s="77">
        <v>103062</v>
      </c>
      <c r="J72" s="77"/>
      <c r="K72" s="77">
        <v>0</v>
      </c>
      <c r="L72" s="77"/>
      <c r="M72" s="77">
        <v>42846</v>
      </c>
      <c r="N72" s="77"/>
      <c r="O72" s="77">
        <v>500</v>
      </c>
      <c r="P72" s="77"/>
      <c r="Q72" s="77">
        <v>561</v>
      </c>
      <c r="R72" s="77"/>
      <c r="S72" s="77">
        <v>11047</v>
      </c>
      <c r="T72" s="77"/>
      <c r="U72" s="77">
        <v>0</v>
      </c>
      <c r="V72" s="77"/>
      <c r="W72" s="77">
        <v>0</v>
      </c>
      <c r="X72" s="77"/>
      <c r="Y72" s="77">
        <v>0</v>
      </c>
      <c r="Z72" s="77"/>
      <c r="AA72" s="77">
        <v>0</v>
      </c>
      <c r="AB72" s="77"/>
      <c r="AC72" s="77">
        <v>32486</v>
      </c>
      <c r="AD72" s="77"/>
      <c r="AE72" s="77">
        <v>0</v>
      </c>
      <c r="AF72" s="77"/>
      <c r="AG72" s="77">
        <v>0</v>
      </c>
      <c r="AH72" s="77"/>
      <c r="AI72" s="77">
        <f t="shared" si="0"/>
        <v>293288</v>
      </c>
      <c r="AJ72" s="24"/>
      <c r="AK72" s="15" t="str">
        <f>'Gen Rev'!A72</f>
        <v>Bloomdale</v>
      </c>
      <c r="AL72" s="15" t="str">
        <f t="shared" si="1"/>
        <v>Bloomdale</v>
      </c>
      <c r="AM72" s="15" t="b">
        <f t="shared" si="2"/>
        <v>1</v>
      </c>
    </row>
    <row r="73" spans="1:42" s="31" customFormat="1" ht="12" customHeight="1" x14ac:dyDescent="0.2">
      <c r="A73" s="1" t="s">
        <v>68</v>
      </c>
      <c r="B73" s="1"/>
      <c r="C73" s="1" t="s">
        <v>757</v>
      </c>
      <c r="D73" s="15"/>
      <c r="E73" s="77">
        <v>51243.32</v>
      </c>
      <c r="F73" s="77"/>
      <c r="G73" s="77">
        <v>0</v>
      </c>
      <c r="H73" s="77"/>
      <c r="I73" s="77">
        <v>67480.490000000005</v>
      </c>
      <c r="J73" s="77"/>
      <c r="K73" s="77">
        <v>0</v>
      </c>
      <c r="L73" s="77"/>
      <c r="M73" s="77">
        <v>8845.36</v>
      </c>
      <c r="N73" s="77"/>
      <c r="O73" s="77">
        <v>9982.86</v>
      </c>
      <c r="P73" s="77"/>
      <c r="Q73" s="77">
        <v>1609.24</v>
      </c>
      <c r="R73" s="77"/>
      <c r="S73" s="77">
        <v>8671.65</v>
      </c>
      <c r="T73" s="77"/>
      <c r="U73" s="77">
        <v>0</v>
      </c>
      <c r="V73" s="77"/>
      <c r="W73" s="77">
        <v>0</v>
      </c>
      <c r="X73" s="77"/>
      <c r="Y73" s="77">
        <v>0</v>
      </c>
      <c r="Z73" s="77"/>
      <c r="AA73" s="77">
        <v>1000</v>
      </c>
      <c r="AB73" s="77"/>
      <c r="AC73" s="77">
        <v>0</v>
      </c>
      <c r="AD73" s="77"/>
      <c r="AE73" s="77">
        <v>0</v>
      </c>
      <c r="AF73" s="77"/>
      <c r="AG73" s="77">
        <v>0</v>
      </c>
      <c r="AH73" s="77"/>
      <c r="AI73" s="77">
        <f t="shared" ref="AI73:AI139" si="3">SUM(E73:AG73)</f>
        <v>148832.91999999998</v>
      </c>
      <c r="AJ73" s="24"/>
      <c r="AK73" s="15" t="str">
        <f>'Gen Rev'!A73</f>
        <v>Bloomingburg</v>
      </c>
      <c r="AL73" s="15" t="str">
        <f t="shared" ref="AL73:AL139" si="4">A73</f>
        <v>Bloomingburg</v>
      </c>
      <c r="AM73" s="15" t="b">
        <f t="shared" ref="AM73:AM139" si="5">AK73=AL73</f>
        <v>1</v>
      </c>
      <c r="AN73" s="15"/>
      <c r="AO73" s="15"/>
      <c r="AP73" s="15"/>
    </row>
    <row r="74" spans="1:42" ht="12" customHeight="1" x14ac:dyDescent="0.2">
      <c r="A74" s="1" t="s">
        <v>115</v>
      </c>
      <c r="B74" s="1"/>
      <c r="C74" s="1" t="s">
        <v>770</v>
      </c>
      <c r="E74" s="77">
        <v>7542.31</v>
      </c>
      <c r="F74" s="77"/>
      <c r="G74" s="77">
        <v>5340.61</v>
      </c>
      <c r="H74" s="77"/>
      <c r="I74" s="77">
        <v>19224.98</v>
      </c>
      <c r="J74" s="77"/>
      <c r="K74" s="77">
        <v>0</v>
      </c>
      <c r="L74" s="77"/>
      <c r="M74" s="77">
        <v>10</v>
      </c>
      <c r="N74" s="77"/>
      <c r="O74" s="77">
        <v>705.16</v>
      </c>
      <c r="P74" s="77"/>
      <c r="Q74" s="77">
        <v>0</v>
      </c>
      <c r="R74" s="77"/>
      <c r="S74" s="77">
        <v>8139.7</v>
      </c>
      <c r="T74" s="77"/>
      <c r="U74" s="77">
        <v>0</v>
      </c>
      <c r="V74" s="77"/>
      <c r="W74" s="77">
        <v>0</v>
      </c>
      <c r="X74" s="77"/>
      <c r="Y74" s="77">
        <v>0</v>
      </c>
      <c r="Z74" s="77"/>
      <c r="AA74" s="77">
        <v>0</v>
      </c>
      <c r="AB74" s="77"/>
      <c r="AC74" s="77">
        <v>0</v>
      </c>
      <c r="AD74" s="77"/>
      <c r="AE74" s="77">
        <v>0</v>
      </c>
      <c r="AF74" s="77"/>
      <c r="AG74" s="77">
        <v>0</v>
      </c>
      <c r="AH74" s="77"/>
      <c r="AI74" s="77">
        <f t="shared" si="3"/>
        <v>40962.76</v>
      </c>
      <c r="AJ74" s="24"/>
      <c r="AK74" s="15" t="str">
        <f>'Gen Rev'!A74</f>
        <v>Bloomingdale</v>
      </c>
      <c r="AL74" s="15" t="str">
        <f t="shared" si="4"/>
        <v>Bloomingdale</v>
      </c>
      <c r="AM74" s="15" t="b">
        <f t="shared" si="5"/>
        <v>1</v>
      </c>
    </row>
    <row r="75" spans="1:42" s="31" customFormat="1" ht="12" customHeight="1" x14ac:dyDescent="0.2">
      <c r="A75" s="15" t="s">
        <v>533</v>
      </c>
      <c r="B75" s="15"/>
      <c r="C75" s="15" t="s">
        <v>532</v>
      </c>
      <c r="D75" s="15"/>
      <c r="E75" s="77">
        <v>57749</v>
      </c>
      <c r="F75" s="77"/>
      <c r="G75" s="77">
        <v>0</v>
      </c>
      <c r="H75" s="77"/>
      <c r="I75" s="77">
        <v>96867</v>
      </c>
      <c r="J75" s="77"/>
      <c r="K75" s="77">
        <v>0</v>
      </c>
      <c r="L75" s="77"/>
      <c r="M75" s="77">
        <v>20637</v>
      </c>
      <c r="N75" s="77"/>
      <c r="O75" s="77">
        <v>6315</v>
      </c>
      <c r="P75" s="77"/>
      <c r="Q75" s="77">
        <v>2172</v>
      </c>
      <c r="R75" s="77"/>
      <c r="S75" s="77">
        <v>2607</v>
      </c>
      <c r="T75" s="77"/>
      <c r="U75" s="77">
        <v>0</v>
      </c>
      <c r="V75" s="77"/>
      <c r="W75" s="77">
        <v>0</v>
      </c>
      <c r="X75" s="77"/>
      <c r="Y75" s="77">
        <v>2125</v>
      </c>
      <c r="Z75" s="77"/>
      <c r="AA75" s="77">
        <v>35000</v>
      </c>
      <c r="AB75" s="77"/>
      <c r="AC75" s="77">
        <v>0</v>
      </c>
      <c r="AD75" s="77"/>
      <c r="AE75" s="77">
        <v>0</v>
      </c>
      <c r="AF75" s="77"/>
      <c r="AG75" s="77">
        <v>0</v>
      </c>
      <c r="AH75" s="77"/>
      <c r="AI75" s="77">
        <f t="shared" si="3"/>
        <v>223472</v>
      </c>
      <c r="AJ75" s="24"/>
      <c r="AK75" s="15" t="str">
        <f>'Gen Rev'!A75</f>
        <v>Bloomville</v>
      </c>
      <c r="AL75" s="15" t="str">
        <f t="shared" si="4"/>
        <v>Bloomville</v>
      </c>
      <c r="AM75" s="15" t="b">
        <f t="shared" si="5"/>
        <v>1</v>
      </c>
      <c r="AN75" s="15"/>
      <c r="AO75" s="15"/>
      <c r="AP75" s="15"/>
    </row>
    <row r="76" spans="1:42" s="31" customFormat="1" ht="12" hidden="1" customHeight="1" x14ac:dyDescent="0.2">
      <c r="A76" s="1" t="s">
        <v>682</v>
      </c>
      <c r="B76" s="1"/>
      <c r="C76" s="1" t="s">
        <v>703</v>
      </c>
      <c r="D76" s="15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>
        <f t="shared" si="3"/>
        <v>0</v>
      </c>
      <c r="AJ76" s="24"/>
      <c r="AK76" s="15" t="str">
        <f>'Gen Rev'!A76</f>
        <v>Bluffton</v>
      </c>
      <c r="AL76" s="15" t="str">
        <f t="shared" si="4"/>
        <v>Bluffton</v>
      </c>
      <c r="AM76" s="15" t="b">
        <f t="shared" si="5"/>
        <v>1</v>
      </c>
    </row>
    <row r="77" spans="1:42" ht="12" customHeight="1" x14ac:dyDescent="0.2">
      <c r="A77" s="1" t="s">
        <v>562</v>
      </c>
      <c r="B77" s="1"/>
      <c r="C77" s="1" t="s">
        <v>560</v>
      </c>
      <c r="E77" s="77">
        <v>188500.67</v>
      </c>
      <c r="F77" s="77"/>
      <c r="G77" s="77">
        <v>141858.57</v>
      </c>
      <c r="H77" s="77"/>
      <c r="I77" s="77">
        <v>91736.31</v>
      </c>
      <c r="J77" s="77"/>
      <c r="K77" s="77">
        <v>0</v>
      </c>
      <c r="L77" s="77"/>
      <c r="M77" s="77">
        <v>50529.63</v>
      </c>
      <c r="N77" s="77"/>
      <c r="O77" s="77">
        <v>15611.27</v>
      </c>
      <c r="P77" s="77"/>
      <c r="Q77" s="77">
        <v>132.72999999999999</v>
      </c>
      <c r="R77" s="77"/>
      <c r="S77" s="77">
        <v>1000629.21</v>
      </c>
      <c r="T77" s="77"/>
      <c r="U77" s="77">
        <v>0</v>
      </c>
      <c r="V77" s="77"/>
      <c r="W77" s="77">
        <v>0</v>
      </c>
      <c r="X77" s="77"/>
      <c r="Y77" s="77">
        <v>0</v>
      </c>
      <c r="Z77" s="77"/>
      <c r="AA77" s="77">
        <v>121592.76</v>
      </c>
      <c r="AB77" s="77"/>
      <c r="AC77" s="77">
        <v>0</v>
      </c>
      <c r="AD77" s="77"/>
      <c r="AE77" s="77">
        <v>559.54</v>
      </c>
      <c r="AF77" s="77"/>
      <c r="AG77" s="77">
        <v>0</v>
      </c>
      <c r="AH77" s="77"/>
      <c r="AI77" s="77">
        <f t="shared" si="3"/>
        <v>1611150.69</v>
      </c>
      <c r="AJ77" s="24"/>
      <c r="AK77" s="15" t="str">
        <f>'Gen Rev'!A77</f>
        <v>Bolivar</v>
      </c>
      <c r="AL77" s="15" t="str">
        <f t="shared" si="4"/>
        <v>Bolivar</v>
      </c>
      <c r="AM77" s="15" t="b">
        <f t="shared" si="5"/>
        <v>1</v>
      </c>
    </row>
    <row r="78" spans="1:42" s="29" customFormat="1" ht="12" hidden="1" customHeight="1" x14ac:dyDescent="0.2">
      <c r="A78" s="1" t="s">
        <v>548</v>
      </c>
      <c r="B78" s="1"/>
      <c r="C78" s="1" t="s">
        <v>549</v>
      </c>
      <c r="D78" s="15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>
        <f t="shared" si="3"/>
        <v>0</v>
      </c>
      <c r="AJ78" s="24"/>
      <c r="AK78" s="15" t="str">
        <f>'Gen Rev'!A78</f>
        <v>Boston Heights</v>
      </c>
      <c r="AL78" s="15" t="str">
        <f t="shared" si="4"/>
        <v>Boston Heights</v>
      </c>
      <c r="AM78" s="15" t="b">
        <f t="shared" si="5"/>
        <v>1</v>
      </c>
      <c r="AN78" s="31"/>
      <c r="AO78" s="31"/>
      <c r="AP78" s="31"/>
    </row>
    <row r="79" spans="1:42" s="31" customFormat="1" ht="12" customHeight="1" x14ac:dyDescent="0.2">
      <c r="A79" s="24" t="s">
        <v>535</v>
      </c>
      <c r="B79" s="24"/>
      <c r="C79" s="24" t="s">
        <v>536</v>
      </c>
      <c r="D79" s="24"/>
      <c r="E79" s="77">
        <v>37396</v>
      </c>
      <c r="F79" s="77"/>
      <c r="G79" s="77">
        <v>603637</v>
      </c>
      <c r="H79" s="77"/>
      <c r="I79" s="77">
        <v>142792</v>
      </c>
      <c r="J79" s="77"/>
      <c r="K79" s="77">
        <v>207</v>
      </c>
      <c r="L79" s="77"/>
      <c r="M79" s="77">
        <v>32167</v>
      </c>
      <c r="N79" s="77"/>
      <c r="O79" s="77">
        <v>13260</v>
      </c>
      <c r="P79" s="77"/>
      <c r="Q79" s="77">
        <v>6652</v>
      </c>
      <c r="R79" s="77"/>
      <c r="S79" s="77">
        <v>86056</v>
      </c>
      <c r="T79" s="77"/>
      <c r="U79" s="77">
        <v>0</v>
      </c>
      <c r="V79" s="77"/>
      <c r="W79" s="77">
        <v>240000</v>
      </c>
      <c r="X79" s="77"/>
      <c r="Y79" s="77">
        <v>0</v>
      </c>
      <c r="Z79" s="77"/>
      <c r="AA79" s="77">
        <v>0</v>
      </c>
      <c r="AB79" s="77"/>
      <c r="AC79" s="77">
        <v>0</v>
      </c>
      <c r="AD79" s="77"/>
      <c r="AE79" s="77">
        <v>0</v>
      </c>
      <c r="AF79" s="77"/>
      <c r="AG79" s="77">
        <v>0</v>
      </c>
      <c r="AH79" s="77"/>
      <c r="AI79" s="77">
        <f t="shared" si="3"/>
        <v>1162167</v>
      </c>
      <c r="AJ79" s="24"/>
      <c r="AK79" s="15" t="str">
        <f>'Gen Rev'!A79</f>
        <v>Botkins</v>
      </c>
      <c r="AL79" s="15" t="str">
        <f t="shared" si="4"/>
        <v>Botkins</v>
      </c>
      <c r="AM79" s="15" t="b">
        <f t="shared" si="5"/>
        <v>1</v>
      </c>
      <c r="AN79" s="29"/>
      <c r="AO79" s="29"/>
      <c r="AP79" s="29"/>
    </row>
    <row r="80" spans="1:42" s="31" customFormat="1" ht="12" customHeight="1" x14ac:dyDescent="0.2">
      <c r="A80" s="24"/>
      <c r="B80" s="24"/>
      <c r="C80" s="24"/>
      <c r="D80" s="24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24"/>
      <c r="AK80" s="15"/>
      <c r="AL80" s="15"/>
      <c r="AM80" s="15"/>
      <c r="AN80" s="29"/>
      <c r="AO80" s="29"/>
      <c r="AP80" s="29"/>
    </row>
    <row r="81" spans="1:42" s="31" customFormat="1" ht="12" customHeight="1" x14ac:dyDescent="0.2">
      <c r="A81" s="24"/>
      <c r="B81" s="24"/>
      <c r="C81" s="24"/>
      <c r="D81" s="24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 t="s">
        <v>850</v>
      </c>
      <c r="AJ81" s="24"/>
      <c r="AK81" s="15"/>
      <c r="AL81" s="15"/>
      <c r="AM81" s="15"/>
      <c r="AN81" s="29"/>
      <c r="AO81" s="29"/>
      <c r="AP81" s="29"/>
    </row>
    <row r="82" spans="1:42" s="31" customFormat="1" ht="12" customHeight="1" x14ac:dyDescent="0.2">
      <c r="A82" s="24"/>
      <c r="B82" s="24"/>
      <c r="C82" s="24"/>
      <c r="D82" s="24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24"/>
      <c r="AK82" s="15"/>
      <c r="AL82" s="15"/>
      <c r="AM82" s="15"/>
      <c r="AN82" s="29"/>
      <c r="AO82" s="29"/>
      <c r="AP82" s="29"/>
    </row>
    <row r="83" spans="1:42" s="31" customFormat="1" ht="12" customHeight="1" x14ac:dyDescent="0.2">
      <c r="A83" s="1" t="s">
        <v>402</v>
      </c>
      <c r="B83" s="1"/>
      <c r="C83" s="1" t="s">
        <v>403</v>
      </c>
      <c r="D83" s="15"/>
      <c r="E83" s="89">
        <v>13634.32</v>
      </c>
      <c r="F83" s="89"/>
      <c r="G83" s="89">
        <v>58668.61</v>
      </c>
      <c r="H83" s="89"/>
      <c r="I83" s="89">
        <v>100842.78</v>
      </c>
      <c r="J83" s="89"/>
      <c r="K83" s="89">
        <v>0</v>
      </c>
      <c r="L83" s="89"/>
      <c r="M83" s="89">
        <v>800</v>
      </c>
      <c r="N83" s="89"/>
      <c r="O83" s="89">
        <v>1240.52</v>
      </c>
      <c r="P83" s="89"/>
      <c r="Q83" s="89">
        <v>197.82</v>
      </c>
      <c r="R83" s="89"/>
      <c r="S83" s="89">
        <v>7917.86</v>
      </c>
      <c r="T83" s="89"/>
      <c r="U83" s="89">
        <v>0</v>
      </c>
      <c r="V83" s="89"/>
      <c r="W83" s="89">
        <v>0</v>
      </c>
      <c r="X83" s="89"/>
      <c r="Y83" s="89">
        <v>0</v>
      </c>
      <c r="Z83" s="89"/>
      <c r="AA83" s="89">
        <v>0</v>
      </c>
      <c r="AB83" s="89"/>
      <c r="AC83" s="89">
        <v>0</v>
      </c>
      <c r="AD83" s="89"/>
      <c r="AE83" s="89">
        <v>0</v>
      </c>
      <c r="AF83" s="89"/>
      <c r="AG83" s="89">
        <v>82013.5</v>
      </c>
      <c r="AH83" s="89"/>
      <c r="AI83" s="89">
        <f t="shared" si="3"/>
        <v>265315.40999999997</v>
      </c>
      <c r="AJ83" s="24"/>
      <c r="AK83" s="15" t="str">
        <f>'Gen Rev'!A83</f>
        <v>Bowerston</v>
      </c>
      <c r="AL83" s="15" t="str">
        <f t="shared" si="4"/>
        <v>Bowerston</v>
      </c>
      <c r="AM83" s="15" t="b">
        <f t="shared" si="5"/>
        <v>1</v>
      </c>
      <c r="AN83" s="15"/>
      <c r="AO83" s="15"/>
      <c r="AP83" s="15"/>
    </row>
    <row r="84" spans="1:42" ht="12" customHeight="1" x14ac:dyDescent="0.2">
      <c r="A84" s="1" t="s">
        <v>83</v>
      </c>
      <c r="B84" s="1"/>
      <c r="C84" s="1" t="s">
        <v>761</v>
      </c>
      <c r="D84" s="37"/>
      <c r="E84" s="77">
        <v>30934.46</v>
      </c>
      <c r="F84" s="77"/>
      <c r="G84" s="77">
        <v>0</v>
      </c>
      <c r="H84" s="77"/>
      <c r="I84" s="77">
        <v>133558.70000000001</v>
      </c>
      <c r="J84" s="77"/>
      <c r="K84" s="77">
        <v>0</v>
      </c>
      <c r="L84" s="77"/>
      <c r="M84" s="77">
        <v>75</v>
      </c>
      <c r="N84" s="77"/>
      <c r="O84" s="77">
        <v>0</v>
      </c>
      <c r="P84" s="77"/>
      <c r="Q84" s="77">
        <v>114.22</v>
      </c>
      <c r="R84" s="77"/>
      <c r="S84" s="77">
        <v>354.4</v>
      </c>
      <c r="T84" s="77"/>
      <c r="U84" s="77">
        <v>0</v>
      </c>
      <c r="V84" s="77"/>
      <c r="W84" s="77">
        <v>0</v>
      </c>
      <c r="X84" s="77"/>
      <c r="Y84" s="77">
        <v>0</v>
      </c>
      <c r="Z84" s="77"/>
      <c r="AA84" s="77">
        <v>0</v>
      </c>
      <c r="AB84" s="77"/>
      <c r="AC84" s="77">
        <v>0</v>
      </c>
      <c r="AD84" s="77"/>
      <c r="AE84" s="77">
        <v>0</v>
      </c>
      <c r="AF84" s="77"/>
      <c r="AG84" s="77">
        <v>0</v>
      </c>
      <c r="AH84" s="77"/>
      <c r="AI84" s="77">
        <f t="shared" si="3"/>
        <v>165036.78</v>
      </c>
      <c r="AJ84" s="37"/>
      <c r="AK84" s="15" t="str">
        <f>'Gen Rev'!A84</f>
        <v>Bowersville</v>
      </c>
      <c r="AL84" s="15" t="str">
        <f t="shared" si="4"/>
        <v>Bowersville</v>
      </c>
      <c r="AM84" s="15" t="b">
        <f t="shared" si="5"/>
        <v>1</v>
      </c>
      <c r="AN84" s="37"/>
      <c r="AO84" s="37"/>
      <c r="AP84" s="37"/>
    </row>
    <row r="85" spans="1:42" s="31" customFormat="1" ht="12" customHeight="1" x14ac:dyDescent="0.2">
      <c r="A85" s="15" t="s">
        <v>469</v>
      </c>
      <c r="B85" s="15"/>
      <c r="C85" s="15" t="s">
        <v>902</v>
      </c>
      <c r="D85" s="15"/>
      <c r="E85" s="77">
        <f>23767+153044</f>
        <v>176811</v>
      </c>
      <c r="F85" s="77"/>
      <c r="G85" s="77">
        <v>143056</v>
      </c>
      <c r="H85" s="77"/>
      <c r="I85" s="77">
        <f>85158+111872</f>
        <v>197030</v>
      </c>
      <c r="J85" s="77"/>
      <c r="K85" s="77">
        <v>45440</v>
      </c>
      <c r="L85" s="77"/>
      <c r="M85" s="77">
        <v>0</v>
      </c>
      <c r="N85" s="77"/>
      <c r="O85" s="77">
        <v>19585</v>
      </c>
      <c r="P85" s="77"/>
      <c r="Q85" s="77">
        <v>1987</v>
      </c>
      <c r="R85" s="77"/>
      <c r="S85" s="77">
        <f>2689+374</f>
        <v>3063</v>
      </c>
      <c r="T85" s="77"/>
      <c r="U85" s="77">
        <v>0</v>
      </c>
      <c r="V85" s="77"/>
      <c r="W85" s="77">
        <v>0</v>
      </c>
      <c r="X85" s="77"/>
      <c r="Y85" s="77">
        <v>0</v>
      </c>
      <c r="Z85" s="77"/>
      <c r="AA85" s="77">
        <v>0</v>
      </c>
      <c r="AB85" s="77"/>
      <c r="AC85" s="77">
        <v>0</v>
      </c>
      <c r="AD85" s="77"/>
      <c r="AE85" s="77">
        <v>0</v>
      </c>
      <c r="AF85" s="77"/>
      <c r="AG85" s="77">
        <v>0</v>
      </c>
      <c r="AH85" s="77"/>
      <c r="AI85" s="77">
        <f t="shared" si="3"/>
        <v>586972</v>
      </c>
      <c r="AJ85" s="24"/>
      <c r="AK85" s="15" t="str">
        <f>'Gen Rev'!A85</f>
        <v>Bradford</v>
      </c>
      <c r="AL85" s="15" t="str">
        <f t="shared" si="4"/>
        <v>Bradford</v>
      </c>
      <c r="AM85" s="15" t="b">
        <f t="shared" si="5"/>
        <v>1</v>
      </c>
      <c r="AN85" s="15"/>
      <c r="AO85" s="15"/>
      <c r="AP85" s="15"/>
    </row>
    <row r="86" spans="1:42" s="31" customFormat="1" ht="12" customHeight="1" x14ac:dyDescent="0.2">
      <c r="A86" s="15" t="s">
        <v>603</v>
      </c>
      <c r="B86" s="15"/>
      <c r="C86" s="15" t="s">
        <v>601</v>
      </c>
      <c r="D86" s="15"/>
      <c r="E86" s="77">
        <v>63199</v>
      </c>
      <c r="F86" s="77"/>
      <c r="G86" s="77">
        <v>125928</v>
      </c>
      <c r="H86" s="77"/>
      <c r="I86" s="77">
        <v>117647</v>
      </c>
      <c r="J86" s="77"/>
      <c r="K86" s="77">
        <v>29989</v>
      </c>
      <c r="L86" s="77"/>
      <c r="M86" s="77">
        <v>81396</v>
      </c>
      <c r="N86" s="77"/>
      <c r="O86" s="77">
        <v>19465</v>
      </c>
      <c r="P86" s="77"/>
      <c r="Q86" s="77">
        <v>3389</v>
      </c>
      <c r="R86" s="77"/>
      <c r="S86" s="77">
        <v>17862</v>
      </c>
      <c r="T86" s="77"/>
      <c r="U86" s="77">
        <v>0</v>
      </c>
      <c r="V86" s="77"/>
      <c r="W86" s="77">
        <v>81305</v>
      </c>
      <c r="X86" s="77"/>
      <c r="Y86" s="77">
        <v>0</v>
      </c>
      <c r="Z86" s="77"/>
      <c r="AA86" s="77">
        <v>28819</v>
      </c>
      <c r="AB86" s="77"/>
      <c r="AC86" s="77">
        <v>0</v>
      </c>
      <c r="AD86" s="77"/>
      <c r="AE86" s="77">
        <v>0</v>
      </c>
      <c r="AF86" s="77"/>
      <c r="AG86" s="77">
        <v>0</v>
      </c>
      <c r="AH86" s="77"/>
      <c r="AI86" s="77">
        <f t="shared" si="3"/>
        <v>568999</v>
      </c>
      <c r="AJ86" s="24"/>
      <c r="AK86" s="15" t="str">
        <f>'Gen Rev'!A86</f>
        <v>Bradner</v>
      </c>
      <c r="AL86" s="15" t="str">
        <f t="shared" si="4"/>
        <v>Bradner</v>
      </c>
      <c r="AM86" s="15" t="b">
        <f t="shared" si="5"/>
        <v>1</v>
      </c>
    </row>
    <row r="87" spans="1:42" s="31" customFormat="1" ht="12" hidden="1" customHeight="1" x14ac:dyDescent="0.2">
      <c r="A87" s="1" t="s">
        <v>880</v>
      </c>
      <c r="B87" s="1"/>
      <c r="C87" s="1" t="s">
        <v>259</v>
      </c>
      <c r="D87" s="3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>
        <f t="shared" si="3"/>
        <v>0</v>
      </c>
      <c r="AJ87" s="37"/>
      <c r="AK87" s="15" t="str">
        <f>'Gen Rev'!A87</f>
        <v>Brady Lake</v>
      </c>
      <c r="AL87" s="15" t="str">
        <f t="shared" si="4"/>
        <v>Brady Lake</v>
      </c>
      <c r="AM87" s="15" t="b">
        <f t="shared" si="5"/>
        <v>1</v>
      </c>
      <c r="AN87" s="37"/>
      <c r="AO87" s="37"/>
      <c r="AP87" s="37"/>
    </row>
    <row r="88" spans="1:42" ht="12" customHeight="1" x14ac:dyDescent="0.2">
      <c r="A88" s="1" t="s">
        <v>317</v>
      </c>
      <c r="B88" s="1"/>
      <c r="C88" s="1" t="s">
        <v>751</v>
      </c>
      <c r="E88" s="77">
        <v>1240452.56</v>
      </c>
      <c r="F88" s="77"/>
      <c r="G88" s="77">
        <v>1560941.87</v>
      </c>
      <c r="H88" s="77"/>
      <c r="I88" s="77">
        <v>474525.44</v>
      </c>
      <c r="J88" s="77"/>
      <c r="K88" s="77">
        <v>0</v>
      </c>
      <c r="L88" s="77"/>
      <c r="M88" s="77">
        <v>24428.34</v>
      </c>
      <c r="N88" s="77"/>
      <c r="O88" s="77">
        <v>551282.81999999995</v>
      </c>
      <c r="P88" s="77"/>
      <c r="Q88" s="77">
        <v>575.38</v>
      </c>
      <c r="R88" s="77"/>
      <c r="S88" s="77">
        <v>49690.25</v>
      </c>
      <c r="T88" s="77"/>
      <c r="U88" s="77">
        <v>0</v>
      </c>
      <c r="V88" s="77"/>
      <c r="W88" s="77">
        <v>750000</v>
      </c>
      <c r="X88" s="77"/>
      <c r="Y88" s="77">
        <v>0</v>
      </c>
      <c r="Z88" s="77"/>
      <c r="AA88" s="77">
        <v>110429.46</v>
      </c>
      <c r="AB88" s="77"/>
      <c r="AC88" s="77">
        <v>0</v>
      </c>
      <c r="AD88" s="77"/>
      <c r="AE88" s="77">
        <v>0</v>
      </c>
      <c r="AF88" s="77"/>
      <c r="AG88" s="77">
        <v>0</v>
      </c>
      <c r="AH88" s="77"/>
      <c r="AI88" s="77">
        <f t="shared" si="3"/>
        <v>4762326.12</v>
      </c>
      <c r="AJ88" s="24"/>
      <c r="AK88" s="15" t="str">
        <f>'Gen Rev'!A88</f>
        <v>Bratenahl</v>
      </c>
      <c r="AL88" s="15" t="str">
        <f t="shared" si="4"/>
        <v>Bratenahl</v>
      </c>
      <c r="AM88" s="15" t="b">
        <f t="shared" si="5"/>
        <v>1</v>
      </c>
    </row>
    <row r="89" spans="1:42" ht="12" customHeight="1" x14ac:dyDescent="0.2">
      <c r="A89" s="1" t="s">
        <v>61</v>
      </c>
      <c r="B89" s="1"/>
      <c r="C89" s="1" t="s">
        <v>756</v>
      </c>
      <c r="E89" s="77">
        <v>43534.12</v>
      </c>
      <c r="F89" s="77"/>
      <c r="G89" s="77">
        <v>393380.9</v>
      </c>
      <c r="H89" s="77"/>
      <c r="I89" s="77">
        <v>136142.26999999999</v>
      </c>
      <c r="J89" s="77"/>
      <c r="K89" s="77">
        <v>0</v>
      </c>
      <c r="L89" s="77"/>
      <c r="M89" s="77">
        <v>47</v>
      </c>
      <c r="N89" s="77"/>
      <c r="O89" s="77">
        <v>8576.86</v>
      </c>
      <c r="P89" s="77"/>
      <c r="Q89" s="77">
        <v>720.76</v>
      </c>
      <c r="R89" s="77"/>
      <c r="S89" s="77">
        <v>16920.990000000002</v>
      </c>
      <c r="T89" s="77"/>
      <c r="U89" s="77">
        <v>0</v>
      </c>
      <c r="V89" s="77"/>
      <c r="W89" s="77">
        <v>0</v>
      </c>
      <c r="X89" s="77"/>
      <c r="Y89" s="77">
        <v>0</v>
      </c>
      <c r="Z89" s="77"/>
      <c r="AA89" s="77">
        <v>84471</v>
      </c>
      <c r="AB89" s="77"/>
      <c r="AC89" s="77">
        <v>0</v>
      </c>
      <c r="AD89" s="77"/>
      <c r="AE89" s="77">
        <v>0</v>
      </c>
      <c r="AF89" s="77"/>
      <c r="AG89" s="77">
        <v>0</v>
      </c>
      <c r="AH89" s="77"/>
      <c r="AI89" s="77">
        <f t="shared" si="3"/>
        <v>683793.9</v>
      </c>
      <c r="AJ89" s="24"/>
      <c r="AK89" s="15" t="str">
        <f>'Gen Rev'!A89</f>
        <v>Bremen</v>
      </c>
      <c r="AL89" s="15" t="str">
        <f t="shared" si="4"/>
        <v>Bremen</v>
      </c>
      <c r="AM89" s="15" t="b">
        <f t="shared" si="5"/>
        <v>1</v>
      </c>
      <c r="AN89" s="31"/>
      <c r="AO89" s="31"/>
      <c r="AP89" s="31"/>
    </row>
    <row r="90" spans="1:42" s="31" customFormat="1" ht="12" customHeight="1" x14ac:dyDescent="0.2">
      <c r="A90" s="15" t="s">
        <v>541</v>
      </c>
      <c r="B90" s="15"/>
      <c r="C90" s="15" t="s">
        <v>540</v>
      </c>
      <c r="D90" s="15"/>
      <c r="E90" s="77">
        <v>119925</v>
      </c>
      <c r="F90" s="77"/>
      <c r="G90" s="77">
        <v>698527</v>
      </c>
      <c r="H90" s="77"/>
      <c r="I90" s="77">
        <v>210631</v>
      </c>
      <c r="J90" s="77"/>
      <c r="K90" s="77">
        <v>8126</v>
      </c>
      <c r="L90" s="77"/>
      <c r="M90" s="77">
        <v>218118</v>
      </c>
      <c r="N90" s="77"/>
      <c r="O90" s="77">
        <v>5015</v>
      </c>
      <c r="P90" s="77"/>
      <c r="Q90" s="77">
        <v>4060</v>
      </c>
      <c r="R90" s="77"/>
      <c r="S90" s="77">
        <v>14430</v>
      </c>
      <c r="T90" s="77"/>
      <c r="U90" s="77">
        <v>0</v>
      </c>
      <c r="V90" s="77"/>
      <c r="W90" s="77">
        <v>0</v>
      </c>
      <c r="X90" s="77"/>
      <c r="Y90" s="77">
        <v>329</v>
      </c>
      <c r="Z90" s="77"/>
      <c r="AA90" s="77">
        <v>202265</v>
      </c>
      <c r="AB90" s="77"/>
      <c r="AC90" s="77">
        <v>0</v>
      </c>
      <c r="AD90" s="77"/>
      <c r="AE90" s="77">
        <v>132</v>
      </c>
      <c r="AF90" s="77"/>
      <c r="AG90" s="77">
        <v>0</v>
      </c>
      <c r="AH90" s="77"/>
      <c r="AI90" s="77">
        <f t="shared" si="3"/>
        <v>1481558</v>
      </c>
      <c r="AJ90" s="24"/>
      <c r="AK90" s="15" t="str">
        <f>'Gen Rev'!A90</f>
        <v>Brewster</v>
      </c>
      <c r="AL90" s="15" t="str">
        <f t="shared" si="4"/>
        <v>Brewster</v>
      </c>
      <c r="AM90" s="15" t="b">
        <f t="shared" si="5"/>
        <v>1</v>
      </c>
    </row>
    <row r="91" spans="1:42" s="37" customFormat="1" ht="12" customHeight="1" x14ac:dyDescent="0.2">
      <c r="A91" s="15" t="s">
        <v>72</v>
      </c>
      <c r="B91" s="15"/>
      <c r="C91" s="15" t="s">
        <v>758</v>
      </c>
      <c r="D91" s="15"/>
      <c r="E91" s="77">
        <v>6821.06</v>
      </c>
      <c r="F91" s="77"/>
      <c r="G91" s="77">
        <v>30332.43</v>
      </c>
      <c r="H91" s="77"/>
      <c r="I91" s="77">
        <v>14237.65</v>
      </c>
      <c r="J91" s="77"/>
      <c r="K91" s="77">
        <v>0</v>
      </c>
      <c r="L91" s="77"/>
      <c r="M91" s="77">
        <v>0</v>
      </c>
      <c r="N91" s="77"/>
      <c r="O91" s="77">
        <v>105530.94</v>
      </c>
      <c r="P91" s="77"/>
      <c r="Q91" s="77">
        <v>7.07</v>
      </c>
      <c r="R91" s="77"/>
      <c r="S91" s="77">
        <v>17806.96</v>
      </c>
      <c r="T91" s="77"/>
      <c r="U91" s="77">
        <v>0</v>
      </c>
      <c r="V91" s="77"/>
      <c r="W91" s="77">
        <v>0</v>
      </c>
      <c r="X91" s="77"/>
      <c r="Y91" s="77">
        <v>0</v>
      </c>
      <c r="Z91" s="77"/>
      <c r="AA91" s="77">
        <v>0</v>
      </c>
      <c r="AB91" s="77"/>
      <c r="AC91" s="77">
        <v>0</v>
      </c>
      <c r="AD91" s="77"/>
      <c r="AE91" s="77">
        <v>476.69</v>
      </c>
      <c r="AF91" s="77"/>
      <c r="AG91" s="77">
        <v>0</v>
      </c>
      <c r="AH91" s="77"/>
      <c r="AI91" s="77">
        <f t="shared" si="3"/>
        <v>175212.80000000002</v>
      </c>
      <c r="AJ91" s="24"/>
      <c r="AK91" s="15" t="str">
        <f>'Gen Rev'!A91</f>
        <v>Brice</v>
      </c>
      <c r="AL91" s="15" t="str">
        <f t="shared" si="4"/>
        <v>Brice</v>
      </c>
      <c r="AM91" s="15" t="b">
        <f t="shared" si="5"/>
        <v>1</v>
      </c>
      <c r="AN91" s="15"/>
      <c r="AO91" s="15"/>
      <c r="AP91" s="15"/>
    </row>
    <row r="92" spans="1:42" ht="12" customHeight="1" x14ac:dyDescent="0.2">
      <c r="A92" s="1" t="s">
        <v>281</v>
      </c>
      <c r="B92" s="1"/>
      <c r="C92" s="1" t="s">
        <v>279</v>
      </c>
      <c r="E92" s="77">
        <v>237756.11</v>
      </c>
      <c r="F92" s="77"/>
      <c r="G92" s="77">
        <v>0</v>
      </c>
      <c r="H92" s="77"/>
      <c r="I92" s="77">
        <v>205748.34</v>
      </c>
      <c r="J92" s="77"/>
      <c r="K92" s="77">
        <v>0</v>
      </c>
      <c r="L92" s="77"/>
      <c r="M92" s="77">
        <v>269786.25</v>
      </c>
      <c r="N92" s="77"/>
      <c r="O92" s="77">
        <v>94558.84</v>
      </c>
      <c r="P92" s="77"/>
      <c r="Q92" s="77">
        <v>324.49</v>
      </c>
      <c r="R92" s="77"/>
      <c r="S92" s="77">
        <v>54004.02</v>
      </c>
      <c r="T92" s="77"/>
      <c r="U92" s="77">
        <v>0</v>
      </c>
      <c r="V92" s="77"/>
      <c r="W92" s="77">
        <v>0</v>
      </c>
      <c r="X92" s="77"/>
      <c r="Y92" s="77">
        <v>0</v>
      </c>
      <c r="Z92" s="77"/>
      <c r="AA92" s="77">
        <v>0</v>
      </c>
      <c r="AB92" s="77"/>
      <c r="AC92" s="77">
        <v>0</v>
      </c>
      <c r="AD92" s="77"/>
      <c r="AE92" s="77">
        <v>0</v>
      </c>
      <c r="AF92" s="77"/>
      <c r="AG92" s="77">
        <v>0</v>
      </c>
      <c r="AH92" s="77"/>
      <c r="AI92" s="77">
        <f t="shared" si="3"/>
        <v>862178.04999999993</v>
      </c>
      <c r="AJ92" s="24"/>
      <c r="AK92" s="15" t="str">
        <f>'Gen Rev'!A92</f>
        <v>Bridgeport</v>
      </c>
      <c r="AL92" s="15" t="str">
        <f t="shared" si="4"/>
        <v>Bridgeport</v>
      </c>
      <c r="AM92" s="15" t="b">
        <f t="shared" si="5"/>
        <v>1</v>
      </c>
      <c r="AN92" s="30"/>
      <c r="AO92" s="30"/>
      <c r="AP92" s="30"/>
    </row>
    <row r="93" spans="1:42" ht="12" customHeight="1" x14ac:dyDescent="0.2">
      <c r="A93" s="15" t="s">
        <v>318</v>
      </c>
      <c r="C93" s="15" t="s">
        <v>316</v>
      </c>
      <c r="E93" s="77">
        <f>342649+48225</f>
        <v>390874</v>
      </c>
      <c r="F93" s="77"/>
      <c r="G93" s="77">
        <v>4106159</v>
      </c>
      <c r="H93" s="77"/>
      <c r="I93" s="77">
        <v>295887</v>
      </c>
      <c r="J93" s="77"/>
      <c r="K93" s="77">
        <v>6153</v>
      </c>
      <c r="L93" s="77"/>
      <c r="M93" s="77">
        <v>115379</v>
      </c>
      <c r="N93" s="77"/>
      <c r="O93" s="77">
        <f>140179+5084</f>
        <v>145263</v>
      </c>
      <c r="P93" s="77"/>
      <c r="Q93" s="77">
        <v>1164</v>
      </c>
      <c r="R93" s="77"/>
      <c r="S93" s="77">
        <v>18114</v>
      </c>
      <c r="T93" s="77"/>
      <c r="U93" s="77">
        <v>0</v>
      </c>
      <c r="V93" s="77"/>
      <c r="W93" s="77">
        <v>0</v>
      </c>
      <c r="X93" s="77"/>
      <c r="Y93" s="77">
        <v>3425</v>
      </c>
      <c r="Z93" s="77"/>
      <c r="AA93" s="77">
        <v>405985</v>
      </c>
      <c r="AB93" s="77"/>
      <c r="AC93" s="77">
        <v>0</v>
      </c>
      <c r="AD93" s="77"/>
      <c r="AE93" s="77">
        <v>13748</v>
      </c>
      <c r="AF93" s="77"/>
      <c r="AG93" s="77">
        <v>0</v>
      </c>
      <c r="AH93" s="77"/>
      <c r="AI93" s="77">
        <f t="shared" si="3"/>
        <v>5502151</v>
      </c>
      <c r="AJ93" s="24"/>
      <c r="AK93" s="15" t="str">
        <f>'Gen Rev'!A93</f>
        <v>Brooklyn Heights</v>
      </c>
      <c r="AL93" s="15" t="str">
        <f t="shared" si="4"/>
        <v>Brooklyn Heights</v>
      </c>
      <c r="AM93" s="15" t="b">
        <f t="shared" si="5"/>
        <v>1</v>
      </c>
      <c r="AN93" s="30"/>
      <c r="AO93" s="30"/>
      <c r="AP93" s="30"/>
    </row>
    <row r="94" spans="1:42" ht="12" customHeight="1" x14ac:dyDescent="0.2">
      <c r="A94" s="1" t="s">
        <v>16</v>
      </c>
      <c r="B94" s="1"/>
      <c r="C94" s="1" t="s">
        <v>741</v>
      </c>
      <c r="E94" s="77">
        <v>61534.11</v>
      </c>
      <c r="F94" s="77"/>
      <c r="G94" s="77">
        <v>0</v>
      </c>
      <c r="H94" s="77"/>
      <c r="I94" s="77">
        <v>324718.15999999997</v>
      </c>
      <c r="J94" s="77"/>
      <c r="K94" s="77">
        <v>0</v>
      </c>
      <c r="L94" s="77"/>
      <c r="M94" s="77">
        <v>13874.44</v>
      </c>
      <c r="N94" s="77"/>
      <c r="O94" s="77">
        <v>3763</v>
      </c>
      <c r="P94" s="77"/>
      <c r="Q94" s="77">
        <v>138.46</v>
      </c>
      <c r="R94" s="77"/>
      <c r="S94" s="77">
        <v>3320.86</v>
      </c>
      <c r="T94" s="77"/>
      <c r="U94" s="77">
        <v>0</v>
      </c>
      <c r="V94" s="77"/>
      <c r="W94" s="77">
        <v>0</v>
      </c>
      <c r="X94" s="77"/>
      <c r="Y94" s="77">
        <v>0</v>
      </c>
      <c r="Z94" s="77"/>
      <c r="AA94" s="77">
        <v>0</v>
      </c>
      <c r="AB94" s="77"/>
      <c r="AC94" s="77">
        <v>0</v>
      </c>
      <c r="AD94" s="77"/>
      <c r="AE94" s="77">
        <v>38500</v>
      </c>
      <c r="AF94" s="77"/>
      <c r="AG94" s="77">
        <v>0</v>
      </c>
      <c r="AH94" s="77"/>
      <c r="AI94" s="77">
        <f t="shared" si="3"/>
        <v>445849.02999999997</v>
      </c>
      <c r="AJ94" s="24"/>
      <c r="AK94" s="15" t="str">
        <f>'Gen Rev'!A94</f>
        <v>Brookside</v>
      </c>
      <c r="AL94" s="15" t="str">
        <f t="shared" si="4"/>
        <v>Brookside</v>
      </c>
      <c r="AM94" s="15" t="b">
        <f t="shared" si="5"/>
        <v>1</v>
      </c>
      <c r="AN94" s="31"/>
      <c r="AO94" s="31"/>
      <c r="AP94" s="31"/>
    </row>
    <row r="95" spans="1:42" s="29" customFormat="1" ht="12" customHeight="1" x14ac:dyDescent="0.2">
      <c r="A95" s="1" t="s">
        <v>497</v>
      </c>
      <c r="B95" s="1"/>
      <c r="C95" s="1" t="s">
        <v>496</v>
      </c>
      <c r="D95" s="15"/>
      <c r="E95" s="77">
        <v>5961.65</v>
      </c>
      <c r="F95" s="77"/>
      <c r="G95" s="77">
        <v>0</v>
      </c>
      <c r="H95" s="77"/>
      <c r="I95" s="77">
        <v>13913.67</v>
      </c>
      <c r="J95" s="77"/>
      <c r="K95" s="77">
        <v>0</v>
      </c>
      <c r="L95" s="77"/>
      <c r="M95" s="77">
        <v>0</v>
      </c>
      <c r="N95" s="77"/>
      <c r="O95" s="77">
        <v>0</v>
      </c>
      <c r="P95" s="77"/>
      <c r="Q95" s="77">
        <v>22.48</v>
      </c>
      <c r="R95" s="77"/>
      <c r="S95" s="77">
        <v>151.11000000000001</v>
      </c>
      <c r="T95" s="77"/>
      <c r="U95" s="77">
        <v>0</v>
      </c>
      <c r="V95" s="77"/>
      <c r="W95" s="77">
        <v>0</v>
      </c>
      <c r="X95" s="77"/>
      <c r="Y95" s="77">
        <v>0</v>
      </c>
      <c r="Z95" s="77"/>
      <c r="AA95" s="77">
        <v>0</v>
      </c>
      <c r="AB95" s="77"/>
      <c r="AC95" s="77">
        <v>0</v>
      </c>
      <c r="AD95" s="77"/>
      <c r="AE95" s="77">
        <v>0</v>
      </c>
      <c r="AF95" s="77"/>
      <c r="AG95" s="77">
        <v>0</v>
      </c>
      <c r="AH95" s="77"/>
      <c r="AI95" s="77">
        <f t="shared" si="3"/>
        <v>20048.91</v>
      </c>
      <c r="AJ95" s="24"/>
      <c r="AK95" s="15" t="str">
        <f>'Gen Rev'!A95</f>
        <v>Broughton</v>
      </c>
      <c r="AL95" s="15" t="str">
        <f t="shared" si="4"/>
        <v>Broughton</v>
      </c>
      <c r="AM95" s="15" t="b">
        <f t="shared" si="5"/>
        <v>1</v>
      </c>
      <c r="AN95" s="31"/>
      <c r="AO95" s="31"/>
      <c r="AP95" s="31"/>
    </row>
    <row r="96" spans="1:42" ht="12" hidden="1" customHeight="1" x14ac:dyDescent="0.2">
      <c r="A96" s="1" t="s">
        <v>272</v>
      </c>
      <c r="B96" s="1"/>
      <c r="C96" s="1" t="s">
        <v>271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>
        <f t="shared" si="3"/>
        <v>0</v>
      </c>
      <c r="AJ96" s="24"/>
      <c r="AK96" s="15" t="str">
        <f>'Gen Rev'!A96</f>
        <v>Buchtel</v>
      </c>
      <c r="AL96" s="15" t="str">
        <f t="shared" si="4"/>
        <v>Buchtel</v>
      </c>
      <c r="AM96" s="15" t="b">
        <f t="shared" si="5"/>
        <v>1</v>
      </c>
    </row>
    <row r="97" spans="1:42" ht="12" customHeight="1" x14ac:dyDescent="0.2">
      <c r="A97" s="1" t="s">
        <v>130</v>
      </c>
      <c r="B97" s="1"/>
      <c r="C97" s="1" t="s">
        <v>774</v>
      </c>
      <c r="E97" s="77">
        <v>496309.43</v>
      </c>
      <c r="F97" s="77"/>
      <c r="G97" s="77">
        <v>0</v>
      </c>
      <c r="H97" s="77"/>
      <c r="I97" s="77">
        <v>251646.55</v>
      </c>
      <c r="J97" s="77"/>
      <c r="K97" s="77">
        <v>4792.79</v>
      </c>
      <c r="L97" s="77"/>
      <c r="M97" s="77">
        <v>17951.46</v>
      </c>
      <c r="N97" s="77"/>
      <c r="O97" s="77">
        <v>112502.04</v>
      </c>
      <c r="P97" s="77"/>
      <c r="Q97" s="77">
        <v>1538.18</v>
      </c>
      <c r="R97" s="77"/>
      <c r="S97" s="77">
        <v>46459.66</v>
      </c>
      <c r="T97" s="77"/>
      <c r="U97" s="77">
        <v>0</v>
      </c>
      <c r="V97" s="77"/>
      <c r="W97" s="77">
        <v>0</v>
      </c>
      <c r="X97" s="77"/>
      <c r="Y97" s="77">
        <v>0</v>
      </c>
      <c r="Z97" s="77"/>
      <c r="AA97" s="77">
        <v>150000</v>
      </c>
      <c r="AB97" s="77"/>
      <c r="AC97" s="77">
        <v>0</v>
      </c>
      <c r="AD97" s="77"/>
      <c r="AE97" s="77">
        <v>0</v>
      </c>
      <c r="AF97" s="77"/>
      <c r="AG97" s="77">
        <v>865</v>
      </c>
      <c r="AH97" s="77"/>
      <c r="AI97" s="77">
        <f t="shared" si="3"/>
        <v>1082065.1100000001</v>
      </c>
      <c r="AJ97" s="24"/>
      <c r="AK97" s="15" t="str">
        <f>'Gen Rev'!A97</f>
        <v>Buckeye Lake</v>
      </c>
      <c r="AL97" s="15" t="str">
        <f t="shared" si="4"/>
        <v>Buckeye Lake</v>
      </c>
      <c r="AM97" s="15" t="b">
        <f t="shared" si="5"/>
        <v>1</v>
      </c>
    </row>
    <row r="98" spans="1:42" ht="12" customHeight="1" x14ac:dyDescent="0.2">
      <c r="A98" s="1" t="s">
        <v>11</v>
      </c>
      <c r="B98" s="1"/>
      <c r="C98" s="1" t="s">
        <v>740</v>
      </c>
      <c r="E98" s="77">
        <v>6994.8</v>
      </c>
      <c r="F98" s="77"/>
      <c r="G98" s="77">
        <v>0</v>
      </c>
      <c r="H98" s="77"/>
      <c r="I98" s="77">
        <v>57780.93</v>
      </c>
      <c r="J98" s="77"/>
      <c r="K98" s="77">
        <v>0</v>
      </c>
      <c r="L98" s="77"/>
      <c r="M98" s="77">
        <v>55578</v>
      </c>
      <c r="N98" s="77"/>
      <c r="O98" s="77">
        <v>1830.22</v>
      </c>
      <c r="P98" s="77"/>
      <c r="Q98" s="77">
        <v>111.63</v>
      </c>
      <c r="R98" s="77"/>
      <c r="S98" s="77">
        <v>7305.14</v>
      </c>
      <c r="T98" s="77"/>
      <c r="U98" s="77">
        <v>0</v>
      </c>
      <c r="V98" s="77"/>
      <c r="W98" s="77">
        <v>0</v>
      </c>
      <c r="X98" s="77"/>
      <c r="Y98" s="77">
        <v>0</v>
      </c>
      <c r="Z98" s="77"/>
      <c r="AA98" s="77">
        <v>0</v>
      </c>
      <c r="AB98" s="77"/>
      <c r="AC98" s="77">
        <v>0</v>
      </c>
      <c r="AD98" s="77"/>
      <c r="AE98" s="77">
        <v>0</v>
      </c>
      <c r="AF98" s="77"/>
      <c r="AG98" s="77">
        <v>0</v>
      </c>
      <c r="AH98" s="77"/>
      <c r="AI98" s="77">
        <f t="shared" si="3"/>
        <v>129600.72000000002</v>
      </c>
      <c r="AJ98" s="24"/>
      <c r="AK98" s="15" t="str">
        <f>'Gen Rev'!A98</f>
        <v>Buckland</v>
      </c>
      <c r="AL98" s="15" t="str">
        <f t="shared" si="4"/>
        <v>Buckland</v>
      </c>
      <c r="AM98" s="15" t="b">
        <f t="shared" si="5"/>
        <v>1</v>
      </c>
      <c r="AN98" s="31"/>
      <c r="AO98" s="31"/>
      <c r="AP98" s="31"/>
    </row>
    <row r="99" spans="1:42" ht="12" customHeight="1" x14ac:dyDescent="0.2">
      <c r="A99" s="1" t="s">
        <v>248</v>
      </c>
      <c r="B99" s="1"/>
      <c r="C99" s="1" t="s">
        <v>811</v>
      </c>
      <c r="E99" s="77">
        <v>53712.51</v>
      </c>
      <c r="F99" s="77"/>
      <c r="G99" s="77">
        <v>0</v>
      </c>
      <c r="H99" s="77"/>
      <c r="I99" s="77">
        <v>36486.89</v>
      </c>
      <c r="J99" s="77"/>
      <c r="K99" s="77">
        <v>0</v>
      </c>
      <c r="L99" s="77"/>
      <c r="M99" s="77">
        <v>0</v>
      </c>
      <c r="N99" s="77"/>
      <c r="O99" s="77">
        <v>870.5</v>
      </c>
      <c r="P99" s="77"/>
      <c r="Q99" s="77">
        <v>291.10000000000002</v>
      </c>
      <c r="R99" s="77"/>
      <c r="S99" s="77">
        <v>332.71</v>
      </c>
      <c r="T99" s="77"/>
      <c r="U99" s="77">
        <v>0</v>
      </c>
      <c r="V99" s="77"/>
      <c r="W99" s="77">
        <v>0</v>
      </c>
      <c r="X99" s="77"/>
      <c r="Y99" s="77">
        <v>0</v>
      </c>
      <c r="Z99" s="77"/>
      <c r="AA99" s="77">
        <v>0</v>
      </c>
      <c r="AB99" s="77"/>
      <c r="AC99" s="77">
        <v>0</v>
      </c>
      <c r="AD99" s="77"/>
      <c r="AE99" s="77">
        <v>0</v>
      </c>
      <c r="AF99" s="77"/>
      <c r="AG99" s="77">
        <v>0</v>
      </c>
      <c r="AH99" s="77"/>
      <c r="AI99" s="77">
        <f t="shared" si="3"/>
        <v>91693.71</v>
      </c>
      <c r="AJ99" s="24"/>
      <c r="AK99" s="15" t="str">
        <f>'Gen Rev'!A99</f>
        <v>Burbank</v>
      </c>
      <c r="AL99" s="15" t="str">
        <f t="shared" si="4"/>
        <v>Burbank</v>
      </c>
      <c r="AM99" s="15" t="b">
        <f t="shared" si="5"/>
        <v>1</v>
      </c>
      <c r="AN99" s="31"/>
      <c r="AO99" s="31"/>
      <c r="AP99" s="31"/>
    </row>
    <row r="100" spans="1:42" ht="12" customHeight="1" x14ac:dyDescent="0.2">
      <c r="A100" s="15" t="s">
        <v>524</v>
      </c>
      <c r="C100" s="15" t="s">
        <v>525</v>
      </c>
      <c r="E100" s="77">
        <v>24869.32</v>
      </c>
      <c r="F100" s="77"/>
      <c r="G100" s="77">
        <v>0</v>
      </c>
      <c r="H100" s="77"/>
      <c r="I100" s="77">
        <v>12829.03</v>
      </c>
      <c r="J100" s="77"/>
      <c r="K100" s="77">
        <v>0</v>
      </c>
      <c r="L100" s="77"/>
      <c r="M100" s="77">
        <v>0</v>
      </c>
      <c r="N100" s="77"/>
      <c r="O100" s="77">
        <v>796.12</v>
      </c>
      <c r="P100" s="77"/>
      <c r="Q100" s="77">
        <v>148.16</v>
      </c>
      <c r="R100" s="77"/>
      <c r="S100" s="77">
        <v>0</v>
      </c>
      <c r="T100" s="77"/>
      <c r="U100" s="77">
        <v>0</v>
      </c>
      <c r="V100" s="77"/>
      <c r="W100" s="77">
        <v>0</v>
      </c>
      <c r="X100" s="77"/>
      <c r="Y100" s="77">
        <v>0</v>
      </c>
      <c r="Z100" s="77"/>
      <c r="AA100" s="77">
        <v>0</v>
      </c>
      <c r="AB100" s="77"/>
      <c r="AC100" s="77">
        <v>0</v>
      </c>
      <c r="AD100" s="77"/>
      <c r="AE100" s="77">
        <v>10</v>
      </c>
      <c r="AF100" s="77"/>
      <c r="AG100" s="77">
        <v>0</v>
      </c>
      <c r="AH100" s="77"/>
      <c r="AI100" s="77">
        <f t="shared" si="3"/>
        <v>38652.630000000005</v>
      </c>
      <c r="AJ100" s="24"/>
      <c r="AK100" s="15" t="str">
        <f>'Gen Rev'!A100</f>
        <v>Burgoon</v>
      </c>
      <c r="AL100" s="15" t="str">
        <f t="shared" si="4"/>
        <v>Burgoon</v>
      </c>
      <c r="AM100" s="15" t="b">
        <f t="shared" si="5"/>
        <v>1</v>
      </c>
      <c r="AN100" s="31"/>
      <c r="AO100" s="31"/>
      <c r="AP100" s="31"/>
    </row>
    <row r="101" spans="1:42" ht="12" customHeight="1" x14ac:dyDescent="0.2">
      <c r="A101" s="15" t="s">
        <v>465</v>
      </c>
      <c r="C101" s="15" t="s">
        <v>699</v>
      </c>
      <c r="E101" s="77">
        <v>40611</v>
      </c>
      <c r="F101" s="77"/>
      <c r="G101" s="77">
        <v>0</v>
      </c>
      <c r="H101" s="77"/>
      <c r="I101" s="77">
        <v>17647</v>
      </c>
      <c r="J101" s="77"/>
      <c r="K101" s="77">
        <v>23536</v>
      </c>
      <c r="L101" s="77"/>
      <c r="M101" s="77">
        <v>0</v>
      </c>
      <c r="N101" s="77"/>
      <c r="O101" s="77">
        <v>0</v>
      </c>
      <c r="P101" s="77"/>
      <c r="Q101" s="77">
        <v>0</v>
      </c>
      <c r="R101" s="77"/>
      <c r="S101" s="77">
        <v>14303</v>
      </c>
      <c r="T101" s="77"/>
      <c r="U101" s="77">
        <v>0</v>
      </c>
      <c r="V101" s="77"/>
      <c r="W101" s="77">
        <v>0</v>
      </c>
      <c r="X101" s="77"/>
      <c r="Y101" s="77">
        <v>0</v>
      </c>
      <c r="Z101" s="77"/>
      <c r="AA101" s="77">
        <v>0</v>
      </c>
      <c r="AB101" s="77"/>
      <c r="AC101" s="77">
        <v>0</v>
      </c>
      <c r="AD101" s="77"/>
      <c r="AE101" s="77">
        <v>0</v>
      </c>
      <c r="AF101" s="77"/>
      <c r="AG101" s="77">
        <v>0</v>
      </c>
      <c r="AH101" s="77"/>
      <c r="AI101" s="77">
        <f t="shared" si="3"/>
        <v>96097</v>
      </c>
      <c r="AJ101" s="24"/>
      <c r="AK101" s="15" t="str">
        <f>'Gen Rev'!A101</f>
        <v>Burkettsville</v>
      </c>
      <c r="AL101" s="15" t="str">
        <f t="shared" si="4"/>
        <v>Burkettsville</v>
      </c>
      <c r="AM101" s="15" t="b">
        <f t="shared" si="5"/>
        <v>1</v>
      </c>
    </row>
    <row r="102" spans="1:42" ht="12" customHeight="1" x14ac:dyDescent="0.2">
      <c r="A102" s="15" t="s">
        <v>683</v>
      </c>
      <c r="C102" s="15" t="s">
        <v>366</v>
      </c>
      <c r="E102" s="77">
        <v>201253</v>
      </c>
      <c r="F102" s="77"/>
      <c r="G102" s="77">
        <v>489292</v>
      </c>
      <c r="H102" s="77"/>
      <c r="I102" s="77">
        <v>202128</v>
      </c>
      <c r="J102" s="77"/>
      <c r="K102" s="77">
        <v>38861</v>
      </c>
      <c r="L102" s="77"/>
      <c r="M102" s="77">
        <v>32520</v>
      </c>
      <c r="N102" s="77"/>
      <c r="O102" s="77">
        <v>21442</v>
      </c>
      <c r="P102" s="77"/>
      <c r="Q102" s="77">
        <v>15666</v>
      </c>
      <c r="R102" s="77"/>
      <c r="S102" s="77">
        <v>7778</v>
      </c>
      <c r="T102" s="77"/>
      <c r="U102" s="77">
        <v>0</v>
      </c>
      <c r="V102" s="77"/>
      <c r="W102" s="77">
        <v>0</v>
      </c>
      <c r="X102" s="77"/>
      <c r="Y102" s="77">
        <v>9387</v>
      </c>
      <c r="Z102" s="77"/>
      <c r="AA102" s="77">
        <v>389660</v>
      </c>
      <c r="AB102" s="77"/>
      <c r="AC102" s="77">
        <v>45146</v>
      </c>
      <c r="AD102" s="77"/>
      <c r="AE102" s="77">
        <v>0</v>
      </c>
      <c r="AF102" s="77"/>
      <c r="AG102" s="77">
        <v>26300</v>
      </c>
      <c r="AH102" s="77"/>
      <c r="AI102" s="77">
        <f t="shared" si="3"/>
        <v>1479433</v>
      </c>
      <c r="AJ102" s="24"/>
      <c r="AK102" s="15" t="str">
        <f>'Gen Rev'!A102</f>
        <v>Burton</v>
      </c>
      <c r="AL102" s="15" t="str">
        <f t="shared" si="4"/>
        <v>Burton</v>
      </c>
      <c r="AM102" s="15" t="b">
        <f t="shared" si="5"/>
        <v>1</v>
      </c>
    </row>
    <row r="103" spans="1:42" ht="12" customHeight="1" x14ac:dyDescent="0.2">
      <c r="A103" s="15" t="s">
        <v>518</v>
      </c>
      <c r="C103" s="15" t="s">
        <v>798</v>
      </c>
      <c r="E103" s="77">
        <v>120068</v>
      </c>
      <c r="F103" s="77"/>
      <c r="G103" s="77">
        <v>127200</v>
      </c>
      <c r="H103" s="77"/>
      <c r="I103" s="77">
        <v>0</v>
      </c>
      <c r="J103" s="77"/>
      <c r="K103" s="77">
        <v>35344</v>
      </c>
      <c r="L103" s="77"/>
      <c r="M103" s="77">
        <v>233541</v>
      </c>
      <c r="N103" s="77"/>
      <c r="O103" s="77">
        <v>6614</v>
      </c>
      <c r="P103" s="77"/>
      <c r="Q103" s="77">
        <v>0</v>
      </c>
      <c r="R103" s="77"/>
      <c r="S103" s="77">
        <v>5920</v>
      </c>
      <c r="T103" s="77"/>
      <c r="U103" s="77">
        <v>0</v>
      </c>
      <c r="V103" s="77"/>
      <c r="W103" s="77">
        <v>0</v>
      </c>
      <c r="X103" s="77"/>
      <c r="Y103" s="77">
        <v>0</v>
      </c>
      <c r="Z103" s="77"/>
      <c r="AA103" s="77">
        <v>0</v>
      </c>
      <c r="AB103" s="77"/>
      <c r="AC103" s="77">
        <v>0</v>
      </c>
      <c r="AD103" s="77"/>
      <c r="AE103" s="77">
        <v>0</v>
      </c>
      <c r="AF103" s="77"/>
      <c r="AG103" s="77">
        <v>0</v>
      </c>
      <c r="AH103" s="77"/>
      <c r="AI103" s="77">
        <f t="shared" si="3"/>
        <v>528687</v>
      </c>
      <c r="AJ103" s="24"/>
      <c r="AK103" s="15" t="str">
        <f>'Gen Rev'!A103</f>
        <v>Butler</v>
      </c>
      <c r="AL103" s="15" t="str">
        <f t="shared" si="4"/>
        <v>Butler</v>
      </c>
      <c r="AM103" s="15" t="b">
        <f t="shared" si="5"/>
        <v>1</v>
      </c>
    </row>
    <row r="104" spans="1:42" s="31" customFormat="1" ht="12" customHeight="1" x14ac:dyDescent="0.2">
      <c r="A104" s="1" t="s">
        <v>241</v>
      </c>
      <c r="B104" s="1"/>
      <c r="C104" s="1" t="s">
        <v>809</v>
      </c>
      <c r="D104" s="15"/>
      <c r="E104" s="77">
        <v>7946.6</v>
      </c>
      <c r="F104" s="77"/>
      <c r="G104" s="77">
        <v>0</v>
      </c>
      <c r="H104" s="77"/>
      <c r="I104" s="77">
        <v>7350.97</v>
      </c>
      <c r="J104" s="77"/>
      <c r="K104" s="77">
        <v>0</v>
      </c>
      <c r="L104" s="77"/>
      <c r="M104" s="77">
        <v>0</v>
      </c>
      <c r="N104" s="77"/>
      <c r="O104" s="77">
        <v>5482.92</v>
      </c>
      <c r="P104" s="77"/>
      <c r="Q104" s="77">
        <v>0</v>
      </c>
      <c r="R104" s="77"/>
      <c r="S104" s="77">
        <v>0</v>
      </c>
      <c r="T104" s="77"/>
      <c r="U104" s="77">
        <v>0</v>
      </c>
      <c r="V104" s="77"/>
      <c r="W104" s="77">
        <v>0</v>
      </c>
      <c r="X104" s="77"/>
      <c r="Y104" s="77">
        <v>0</v>
      </c>
      <c r="Z104" s="77"/>
      <c r="AA104" s="77">
        <v>0</v>
      </c>
      <c r="AB104" s="77"/>
      <c r="AC104" s="77">
        <v>0</v>
      </c>
      <c r="AD104" s="77"/>
      <c r="AE104" s="77">
        <v>200</v>
      </c>
      <c r="AF104" s="77"/>
      <c r="AG104" s="77">
        <v>0</v>
      </c>
      <c r="AH104" s="77"/>
      <c r="AI104" s="77">
        <f t="shared" si="3"/>
        <v>20980.489999999998</v>
      </c>
      <c r="AJ104" s="24"/>
      <c r="AK104" s="15" t="str">
        <f>'Gen Rev'!A104</f>
        <v>Butlerville</v>
      </c>
      <c r="AL104" s="15" t="str">
        <f t="shared" si="4"/>
        <v>Butlerville</v>
      </c>
      <c r="AM104" s="15" t="b">
        <f t="shared" si="5"/>
        <v>1</v>
      </c>
    </row>
    <row r="105" spans="1:42" ht="12" customHeight="1" x14ac:dyDescent="0.2">
      <c r="A105" s="1" t="s">
        <v>86</v>
      </c>
      <c r="B105" s="1"/>
      <c r="C105" s="1" t="s">
        <v>762</v>
      </c>
      <c r="E105" s="77">
        <v>110787.76</v>
      </c>
      <c r="F105" s="77"/>
      <c r="G105" s="77">
        <v>330573.69</v>
      </c>
      <c r="H105" s="77"/>
      <c r="I105" s="77">
        <v>200668.17</v>
      </c>
      <c r="J105" s="77"/>
      <c r="K105" s="77">
        <v>800</v>
      </c>
      <c r="L105" s="77"/>
      <c r="M105" s="77">
        <v>85000</v>
      </c>
      <c r="N105" s="77"/>
      <c r="O105" s="77">
        <v>1669.9</v>
      </c>
      <c r="P105" s="77"/>
      <c r="Q105" s="77">
        <v>1417.01</v>
      </c>
      <c r="R105" s="77"/>
      <c r="S105" s="77">
        <v>328525.48</v>
      </c>
      <c r="T105" s="77"/>
      <c r="U105" s="77">
        <v>0</v>
      </c>
      <c r="V105" s="77"/>
      <c r="W105" s="77">
        <v>0</v>
      </c>
      <c r="X105" s="77"/>
      <c r="Y105" s="77">
        <v>0</v>
      </c>
      <c r="Z105" s="77"/>
      <c r="AA105" s="77">
        <v>50000</v>
      </c>
      <c r="AB105" s="77"/>
      <c r="AC105" s="77">
        <v>0</v>
      </c>
      <c r="AD105" s="77"/>
      <c r="AE105" s="77">
        <v>0</v>
      </c>
      <c r="AF105" s="77"/>
      <c r="AG105" s="77">
        <v>0</v>
      </c>
      <c r="AH105" s="77"/>
      <c r="AI105" s="77">
        <f t="shared" si="3"/>
        <v>1109442.01</v>
      </c>
      <c r="AJ105" s="24"/>
      <c r="AK105" s="15" t="str">
        <f>'Gen Rev'!A105</f>
        <v>Byesville</v>
      </c>
      <c r="AL105" s="15" t="str">
        <f t="shared" si="4"/>
        <v>Byesville</v>
      </c>
      <c r="AM105" s="15" t="b">
        <f t="shared" si="5"/>
        <v>1</v>
      </c>
      <c r="AN105" s="31"/>
      <c r="AO105" s="31"/>
      <c r="AP105" s="31"/>
    </row>
    <row r="106" spans="1:42" s="31" customFormat="1" ht="12" customHeight="1" x14ac:dyDescent="0.2">
      <c r="A106" s="1" t="s">
        <v>100</v>
      </c>
      <c r="B106" s="1"/>
      <c r="C106" s="1" t="s">
        <v>403</v>
      </c>
      <c r="D106" s="15"/>
      <c r="E106" s="77">
        <v>111439.61</v>
      </c>
      <c r="F106" s="77"/>
      <c r="G106" s="77">
        <v>768596.04</v>
      </c>
      <c r="H106" s="77"/>
      <c r="I106" s="77">
        <v>212607.91</v>
      </c>
      <c r="J106" s="77"/>
      <c r="K106" s="77">
        <v>0</v>
      </c>
      <c r="L106" s="77"/>
      <c r="M106" s="77">
        <v>242261.1</v>
      </c>
      <c r="N106" s="77"/>
      <c r="O106" s="77">
        <v>46350.67</v>
      </c>
      <c r="P106" s="77"/>
      <c r="Q106" s="77">
        <v>2061.73</v>
      </c>
      <c r="R106" s="77"/>
      <c r="S106" s="77">
        <v>540129.88</v>
      </c>
      <c r="T106" s="77"/>
      <c r="U106" s="77">
        <v>0</v>
      </c>
      <c r="V106" s="77"/>
      <c r="W106" s="77">
        <v>0</v>
      </c>
      <c r="X106" s="77"/>
      <c r="Y106" s="77">
        <v>1046586</v>
      </c>
      <c r="Z106" s="77"/>
      <c r="AA106" s="77">
        <v>0</v>
      </c>
      <c r="AB106" s="77"/>
      <c r="AC106" s="77">
        <v>0</v>
      </c>
      <c r="AD106" s="77"/>
      <c r="AE106" s="77">
        <v>41913.199999999997</v>
      </c>
      <c r="AF106" s="77"/>
      <c r="AG106" s="77">
        <v>0</v>
      </c>
      <c r="AH106" s="77"/>
      <c r="AI106" s="77">
        <f t="shared" si="3"/>
        <v>3011946.14</v>
      </c>
      <c r="AJ106" s="24"/>
      <c r="AK106" s="15" t="str">
        <f>'Gen Rev'!A106</f>
        <v>Cadiz</v>
      </c>
      <c r="AL106" s="15" t="str">
        <f t="shared" si="4"/>
        <v>Cadiz</v>
      </c>
      <c r="AM106" s="15" t="b">
        <f t="shared" si="5"/>
        <v>1</v>
      </c>
      <c r="AN106" s="15"/>
      <c r="AO106" s="15"/>
      <c r="AP106" s="15"/>
    </row>
    <row r="107" spans="1:42" s="31" customFormat="1" ht="12" customHeight="1" x14ac:dyDescent="0.2">
      <c r="A107" s="1" t="s">
        <v>702</v>
      </c>
      <c r="B107" s="1"/>
      <c r="C107" s="1" t="s">
        <v>703</v>
      </c>
      <c r="D107" s="15"/>
      <c r="E107" s="77">
        <v>44500.07</v>
      </c>
      <c r="F107" s="77"/>
      <c r="G107" s="77">
        <v>29940.35</v>
      </c>
      <c r="H107" s="77"/>
      <c r="I107" s="77">
        <v>49791.33</v>
      </c>
      <c r="J107" s="77"/>
      <c r="K107" s="77">
        <v>51047.4</v>
      </c>
      <c r="L107" s="77"/>
      <c r="M107" s="77">
        <v>4858.04</v>
      </c>
      <c r="N107" s="77"/>
      <c r="O107" s="77">
        <v>1498.65</v>
      </c>
      <c r="P107" s="77"/>
      <c r="Q107" s="77">
        <v>23.96</v>
      </c>
      <c r="R107" s="77"/>
      <c r="S107" s="77">
        <v>0</v>
      </c>
      <c r="T107" s="77"/>
      <c r="U107" s="77">
        <v>0</v>
      </c>
      <c r="V107" s="77"/>
      <c r="W107" s="77">
        <v>0</v>
      </c>
      <c r="X107" s="77"/>
      <c r="Y107" s="77">
        <v>0</v>
      </c>
      <c r="Z107" s="77"/>
      <c r="AA107" s="77">
        <v>0</v>
      </c>
      <c r="AB107" s="77"/>
      <c r="AC107" s="77">
        <v>0</v>
      </c>
      <c r="AD107" s="77"/>
      <c r="AE107" s="77">
        <v>0</v>
      </c>
      <c r="AF107" s="77"/>
      <c r="AG107" s="77">
        <v>0</v>
      </c>
      <c r="AH107" s="77"/>
      <c r="AI107" s="77">
        <f t="shared" si="3"/>
        <v>181659.8</v>
      </c>
      <c r="AJ107" s="24"/>
      <c r="AK107" s="15" t="str">
        <f>'Gen Rev'!A107</f>
        <v>Cairo</v>
      </c>
      <c r="AL107" s="15" t="str">
        <f t="shared" si="4"/>
        <v>Cairo</v>
      </c>
      <c r="AM107" s="15" t="b">
        <f t="shared" si="5"/>
        <v>1</v>
      </c>
    </row>
    <row r="108" spans="1:42" s="31" customFormat="1" ht="12" customHeight="1" x14ac:dyDescent="0.2">
      <c r="A108" s="1" t="s">
        <v>177</v>
      </c>
      <c r="B108" s="1"/>
      <c r="C108" s="1" t="s">
        <v>790</v>
      </c>
      <c r="D108" s="15"/>
      <c r="E108" s="77">
        <v>221395.11</v>
      </c>
      <c r="F108" s="77"/>
      <c r="G108" s="77">
        <v>0</v>
      </c>
      <c r="H108" s="77"/>
      <c r="I108" s="77">
        <v>308824.59000000003</v>
      </c>
      <c r="J108" s="77"/>
      <c r="K108" s="77">
        <v>3.37</v>
      </c>
      <c r="L108" s="77"/>
      <c r="M108" s="77">
        <v>5521.5</v>
      </c>
      <c r="N108" s="77"/>
      <c r="O108" s="77">
        <v>2896.5</v>
      </c>
      <c r="P108" s="77"/>
      <c r="Q108" s="77">
        <v>126618.2</v>
      </c>
      <c r="R108" s="77"/>
      <c r="S108" s="77">
        <v>12073.38</v>
      </c>
      <c r="T108" s="77"/>
      <c r="U108" s="77">
        <v>0</v>
      </c>
      <c r="V108" s="77"/>
      <c r="W108" s="77">
        <v>0</v>
      </c>
      <c r="X108" s="77"/>
      <c r="Y108" s="77">
        <v>0</v>
      </c>
      <c r="Z108" s="77"/>
      <c r="AA108" s="77">
        <v>0</v>
      </c>
      <c r="AB108" s="77"/>
      <c r="AC108" s="77">
        <v>0</v>
      </c>
      <c r="AD108" s="77"/>
      <c r="AE108" s="77">
        <v>0</v>
      </c>
      <c r="AF108" s="77"/>
      <c r="AG108" s="77">
        <v>0</v>
      </c>
      <c r="AH108" s="77"/>
      <c r="AI108" s="77">
        <f t="shared" si="3"/>
        <v>677332.64999999991</v>
      </c>
      <c r="AJ108" s="37"/>
      <c r="AK108" s="15" t="str">
        <f>'Gen Rev'!A108</f>
        <v>Caldwell</v>
      </c>
      <c r="AL108" s="15" t="str">
        <f t="shared" si="4"/>
        <v>Caldwell</v>
      </c>
      <c r="AM108" s="15" t="b">
        <f t="shared" si="5"/>
        <v>1</v>
      </c>
    </row>
    <row r="109" spans="1:42" ht="12" customHeight="1" x14ac:dyDescent="0.2">
      <c r="A109" s="1" t="s">
        <v>147</v>
      </c>
      <c r="B109" s="1"/>
      <c r="C109" s="1" t="s">
        <v>780</v>
      </c>
      <c r="E109" s="77">
        <v>55241.65</v>
      </c>
      <c r="F109" s="77"/>
      <c r="G109" s="77">
        <v>0</v>
      </c>
      <c r="H109" s="77"/>
      <c r="I109" s="77">
        <v>56968.79</v>
      </c>
      <c r="J109" s="77"/>
      <c r="K109" s="77">
        <v>56.65</v>
      </c>
      <c r="L109" s="77"/>
      <c r="M109" s="77">
        <v>3425</v>
      </c>
      <c r="N109" s="77"/>
      <c r="O109" s="77">
        <v>5714.45</v>
      </c>
      <c r="P109" s="77"/>
      <c r="Q109" s="77">
        <v>348.67</v>
      </c>
      <c r="R109" s="77"/>
      <c r="S109" s="77">
        <v>4861.5</v>
      </c>
      <c r="T109" s="77"/>
      <c r="U109" s="77">
        <v>0</v>
      </c>
      <c r="V109" s="77"/>
      <c r="W109" s="77">
        <v>0</v>
      </c>
      <c r="X109" s="77"/>
      <c r="Y109" s="77">
        <v>0</v>
      </c>
      <c r="Z109" s="77"/>
      <c r="AA109" s="77">
        <v>0</v>
      </c>
      <c r="AB109" s="77"/>
      <c r="AC109" s="77">
        <v>0</v>
      </c>
      <c r="AD109" s="77"/>
      <c r="AE109" s="77">
        <v>0</v>
      </c>
      <c r="AF109" s="77"/>
      <c r="AG109" s="77">
        <v>0</v>
      </c>
      <c r="AH109" s="77"/>
      <c r="AI109" s="77">
        <f t="shared" si="3"/>
        <v>126616.70999999999</v>
      </c>
      <c r="AJ109" s="24"/>
      <c r="AK109" s="15" t="str">
        <f>'Gen Rev'!A109</f>
        <v>Caledonia</v>
      </c>
      <c r="AL109" s="15" t="str">
        <f t="shared" si="4"/>
        <v>Caledonia</v>
      </c>
      <c r="AM109" s="15" t="b">
        <f t="shared" si="5"/>
        <v>1</v>
      </c>
      <c r="AN109" s="32"/>
      <c r="AO109" s="32"/>
      <c r="AP109" s="32"/>
    </row>
    <row r="110" spans="1:42" ht="12" customHeight="1" x14ac:dyDescent="0.2">
      <c r="A110" s="1" t="s">
        <v>198</v>
      </c>
      <c r="B110" s="1"/>
      <c r="C110" s="1" t="s">
        <v>796</v>
      </c>
      <c r="E110" s="77">
        <v>241793.54</v>
      </c>
      <c r="F110" s="77"/>
      <c r="G110" s="77">
        <v>0</v>
      </c>
      <c r="H110" s="77"/>
      <c r="I110" s="77">
        <v>345276.43</v>
      </c>
      <c r="J110" s="77"/>
      <c r="K110" s="77">
        <v>0</v>
      </c>
      <c r="L110" s="77"/>
      <c r="M110" s="77">
        <v>9089.1200000000008</v>
      </c>
      <c r="N110" s="77"/>
      <c r="O110" s="77">
        <v>50867.05</v>
      </c>
      <c r="P110" s="77"/>
      <c r="Q110" s="77">
        <v>2799.42</v>
      </c>
      <c r="R110" s="77"/>
      <c r="S110" s="77">
        <v>50845.25</v>
      </c>
      <c r="T110" s="77"/>
      <c r="U110" s="77">
        <v>0</v>
      </c>
      <c r="V110" s="77"/>
      <c r="W110" s="77">
        <v>0</v>
      </c>
      <c r="X110" s="77"/>
      <c r="Y110" s="77">
        <v>0</v>
      </c>
      <c r="Z110" s="77"/>
      <c r="AA110" s="77">
        <v>0</v>
      </c>
      <c r="AB110" s="77"/>
      <c r="AC110" s="77">
        <v>0</v>
      </c>
      <c r="AD110" s="77"/>
      <c r="AE110" s="77">
        <v>0</v>
      </c>
      <c r="AF110" s="77"/>
      <c r="AG110" s="77">
        <v>0</v>
      </c>
      <c r="AH110" s="77"/>
      <c r="AI110" s="77">
        <f t="shared" si="3"/>
        <v>700670.81</v>
      </c>
      <c r="AJ110" s="24"/>
      <c r="AK110" s="15" t="str">
        <f>'Gen Rev'!A110</f>
        <v>Camden</v>
      </c>
      <c r="AL110" s="15" t="str">
        <f t="shared" si="4"/>
        <v>Camden</v>
      </c>
      <c r="AM110" s="15" t="b">
        <f t="shared" si="5"/>
        <v>1</v>
      </c>
      <c r="AN110" s="31"/>
      <c r="AO110" s="31"/>
      <c r="AP110" s="31"/>
    </row>
    <row r="111" spans="1:42" ht="12" hidden="1" customHeight="1" x14ac:dyDescent="0.2">
      <c r="A111" s="1" t="s">
        <v>352</v>
      </c>
      <c r="B111" s="1"/>
      <c r="C111" s="1" t="s">
        <v>353</v>
      </c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>
        <f t="shared" si="3"/>
        <v>0</v>
      </c>
      <c r="AJ111" s="24"/>
      <c r="AK111" s="15" t="str">
        <f>'Gen Rev'!A111</f>
        <v>Canal Winchester</v>
      </c>
      <c r="AL111" s="15" t="str">
        <f t="shared" si="4"/>
        <v>Canal Winchester</v>
      </c>
      <c r="AM111" s="15" t="b">
        <f t="shared" si="5"/>
        <v>1</v>
      </c>
      <c r="AN111" s="31"/>
      <c r="AO111" s="31"/>
      <c r="AP111" s="31"/>
    </row>
    <row r="112" spans="1:42" s="31" customFormat="1" ht="12" customHeight="1" x14ac:dyDescent="0.2">
      <c r="A112" s="15" t="s">
        <v>170</v>
      </c>
      <c r="B112" s="15"/>
      <c r="C112" s="15" t="s">
        <v>788</v>
      </c>
      <c r="D112" s="15"/>
      <c r="E112" s="77">
        <v>906772</v>
      </c>
      <c r="F112" s="77"/>
      <c r="G112" s="77">
        <v>0</v>
      </c>
      <c r="H112" s="77"/>
      <c r="I112" s="77">
        <f>139282+330</f>
        <v>139612</v>
      </c>
      <c r="J112" s="77"/>
      <c r="K112" s="77">
        <v>522</v>
      </c>
      <c r="L112" s="77"/>
      <c r="M112" s="77">
        <v>133363</v>
      </c>
      <c r="N112" s="77"/>
      <c r="O112" s="77">
        <v>15455</v>
      </c>
      <c r="P112" s="77"/>
      <c r="Q112" s="77">
        <v>33080</v>
      </c>
      <c r="R112" s="77"/>
      <c r="S112" s="77">
        <v>40433</v>
      </c>
      <c r="T112" s="77"/>
      <c r="U112" s="77">
        <v>0</v>
      </c>
      <c r="V112" s="77"/>
      <c r="W112" s="77">
        <v>0</v>
      </c>
      <c r="X112" s="77"/>
      <c r="Y112" s="77">
        <v>0</v>
      </c>
      <c r="Z112" s="77"/>
      <c r="AA112" s="77">
        <v>0</v>
      </c>
      <c r="AB112" s="77"/>
      <c r="AC112" s="77">
        <v>0</v>
      </c>
      <c r="AD112" s="77"/>
      <c r="AE112" s="77">
        <v>317451</v>
      </c>
      <c r="AF112" s="77"/>
      <c r="AG112" s="77">
        <v>0</v>
      </c>
      <c r="AH112" s="77"/>
      <c r="AI112" s="77">
        <f t="shared" si="3"/>
        <v>1586688</v>
      </c>
      <c r="AJ112" s="24"/>
      <c r="AK112" s="15" t="str">
        <f>'Gen Rev'!A112</f>
        <v>Cardington</v>
      </c>
      <c r="AL112" s="15" t="str">
        <f t="shared" si="4"/>
        <v>Cardington</v>
      </c>
      <c r="AM112" s="15" t="b">
        <f t="shared" si="5"/>
        <v>1</v>
      </c>
      <c r="AN112" s="15"/>
      <c r="AO112" s="15"/>
      <c r="AP112" s="15"/>
    </row>
    <row r="113" spans="1:42" ht="12" customHeight="1" x14ac:dyDescent="0.2">
      <c r="A113" s="15" t="s">
        <v>608</v>
      </c>
      <c r="C113" s="15" t="s">
        <v>609</v>
      </c>
      <c r="E113" s="77">
        <f>78356+422433</f>
        <v>500789</v>
      </c>
      <c r="F113" s="77"/>
      <c r="G113" s="77">
        <v>624387</v>
      </c>
      <c r="H113" s="77"/>
      <c r="I113" s="77">
        <v>288296</v>
      </c>
      <c r="J113" s="77"/>
      <c r="K113" s="77">
        <v>94</v>
      </c>
      <c r="L113" s="77"/>
      <c r="M113" s="77">
        <v>66118</v>
      </c>
      <c r="N113" s="77"/>
      <c r="O113" s="77">
        <f>3894+8905</f>
        <v>12799</v>
      </c>
      <c r="P113" s="77"/>
      <c r="Q113" s="77">
        <v>51948</v>
      </c>
      <c r="R113" s="77"/>
      <c r="S113" s="77">
        <f>19525+10906+59598</f>
        <v>90029</v>
      </c>
      <c r="T113" s="77"/>
      <c r="U113" s="77">
        <v>0</v>
      </c>
      <c r="V113" s="77"/>
      <c r="W113" s="77">
        <v>0</v>
      </c>
      <c r="X113" s="77"/>
      <c r="Y113" s="77">
        <v>15794</v>
      </c>
      <c r="Z113" s="77"/>
      <c r="AA113" s="77">
        <v>0</v>
      </c>
      <c r="AB113" s="77"/>
      <c r="AC113" s="77">
        <v>0</v>
      </c>
      <c r="AD113" s="77"/>
      <c r="AE113" s="77">
        <v>0</v>
      </c>
      <c r="AF113" s="77"/>
      <c r="AG113" s="77">
        <v>0</v>
      </c>
      <c r="AH113" s="77"/>
      <c r="AI113" s="77">
        <f t="shared" si="3"/>
        <v>1650254</v>
      </c>
      <c r="AJ113" s="24"/>
      <c r="AK113" s="15" t="str">
        <f>'Gen Rev'!A113</f>
        <v>Carey</v>
      </c>
      <c r="AL113" s="15" t="str">
        <f t="shared" si="4"/>
        <v>Carey</v>
      </c>
      <c r="AM113" s="15" t="b">
        <f t="shared" si="5"/>
        <v>1</v>
      </c>
    </row>
    <row r="114" spans="1:42" ht="12" customHeight="1" x14ac:dyDescent="0.2">
      <c r="A114" s="15" t="s">
        <v>942</v>
      </c>
      <c r="C114" s="15" t="s">
        <v>581</v>
      </c>
      <c r="E114" s="77">
        <v>196602</v>
      </c>
      <c r="F114" s="77"/>
      <c r="G114" s="77">
        <v>904078</v>
      </c>
      <c r="H114" s="77"/>
      <c r="I114" s="77">
        <v>1282974</v>
      </c>
      <c r="J114" s="77"/>
      <c r="K114" s="77">
        <v>33892</v>
      </c>
      <c r="L114" s="77"/>
      <c r="M114" s="77">
        <v>0</v>
      </c>
      <c r="N114" s="77"/>
      <c r="O114" s="77">
        <f>81599+63731</f>
        <v>145330</v>
      </c>
      <c r="P114" s="77"/>
      <c r="Q114" s="77">
        <v>7192</v>
      </c>
      <c r="R114" s="77"/>
      <c r="S114" s="77">
        <f>300481+129501</f>
        <v>429982</v>
      </c>
      <c r="T114" s="77"/>
      <c r="U114" s="77">
        <v>0</v>
      </c>
      <c r="V114" s="77"/>
      <c r="W114" s="77">
        <v>1886200</v>
      </c>
      <c r="X114" s="77"/>
      <c r="Y114" s="77">
        <v>25000</v>
      </c>
      <c r="Z114" s="77"/>
      <c r="AA114" s="77">
        <v>181500</v>
      </c>
      <c r="AB114" s="77"/>
      <c r="AC114" s="77">
        <v>0</v>
      </c>
      <c r="AD114" s="77"/>
      <c r="AE114" s="77">
        <v>0</v>
      </c>
      <c r="AF114" s="77"/>
      <c r="AG114" s="77">
        <v>0</v>
      </c>
      <c r="AH114" s="77"/>
      <c r="AI114" s="77">
        <f t="shared" si="3"/>
        <v>5092750</v>
      </c>
      <c r="AJ114" s="24"/>
      <c r="AK114" s="15" t="str">
        <f>'Gen Rev'!A114</f>
        <v>Carlisle</v>
      </c>
      <c r="AL114" s="15" t="str">
        <f t="shared" si="4"/>
        <v>Carlisle</v>
      </c>
      <c r="AM114" s="15" t="b">
        <f t="shared" si="5"/>
        <v>1</v>
      </c>
    </row>
    <row r="115" spans="1:42" ht="12" customHeight="1" x14ac:dyDescent="0.2">
      <c r="A115" s="1" t="s">
        <v>62</v>
      </c>
      <c r="B115" s="1"/>
      <c r="C115" s="1" t="s">
        <v>756</v>
      </c>
      <c r="E115" s="77">
        <v>22446.23</v>
      </c>
      <c r="F115" s="77"/>
      <c r="G115" s="77">
        <v>176841.27</v>
      </c>
      <c r="H115" s="77"/>
      <c r="I115" s="77">
        <v>44737.41</v>
      </c>
      <c r="J115" s="77"/>
      <c r="K115" s="77">
        <v>0</v>
      </c>
      <c r="L115" s="77"/>
      <c r="M115" s="77">
        <v>26499.96</v>
      </c>
      <c r="N115" s="77"/>
      <c r="O115" s="77">
        <v>10893.18</v>
      </c>
      <c r="P115" s="77"/>
      <c r="Q115" s="77">
        <v>12392.53</v>
      </c>
      <c r="R115" s="77"/>
      <c r="S115" s="77">
        <v>15541.38</v>
      </c>
      <c r="T115" s="77"/>
      <c r="U115" s="77">
        <v>0</v>
      </c>
      <c r="V115" s="77"/>
      <c r="W115" s="77">
        <v>0</v>
      </c>
      <c r="X115" s="77"/>
      <c r="Y115" s="77">
        <v>0</v>
      </c>
      <c r="Z115" s="77"/>
      <c r="AA115" s="77">
        <v>0</v>
      </c>
      <c r="AB115" s="77"/>
      <c r="AC115" s="77">
        <v>10000</v>
      </c>
      <c r="AD115" s="77"/>
      <c r="AE115" s="77">
        <v>0</v>
      </c>
      <c r="AF115" s="77"/>
      <c r="AG115" s="77">
        <v>0</v>
      </c>
      <c r="AH115" s="77"/>
      <c r="AI115" s="77">
        <f t="shared" si="3"/>
        <v>319351.96000000002</v>
      </c>
      <c r="AJ115" s="24"/>
      <c r="AK115" s="15" t="str">
        <f>'Gen Rev'!A115</f>
        <v>Carroll</v>
      </c>
      <c r="AL115" s="15" t="str">
        <f t="shared" si="4"/>
        <v>Carroll</v>
      </c>
      <c r="AM115" s="15" t="b">
        <f t="shared" si="5"/>
        <v>1</v>
      </c>
    </row>
    <row r="116" spans="1:42" ht="12" customHeight="1" x14ac:dyDescent="0.2">
      <c r="A116" s="15" t="s">
        <v>285</v>
      </c>
      <c r="C116" s="15" t="s">
        <v>62</v>
      </c>
      <c r="E116" s="77">
        <v>293652</v>
      </c>
      <c r="F116" s="77"/>
      <c r="G116" s="77">
        <v>944323</v>
      </c>
      <c r="H116" s="77"/>
      <c r="I116" s="77">
        <v>639431</v>
      </c>
      <c r="J116" s="77"/>
      <c r="K116" s="77">
        <v>41553</v>
      </c>
      <c r="L116" s="77"/>
      <c r="M116" s="77">
        <v>10047</v>
      </c>
      <c r="N116" s="77"/>
      <c r="O116" s="77">
        <v>132688</v>
      </c>
      <c r="P116" s="77"/>
      <c r="Q116" s="77">
        <v>823</v>
      </c>
      <c r="R116" s="77"/>
      <c r="S116" s="77">
        <v>46868</v>
      </c>
      <c r="T116" s="77"/>
      <c r="U116" s="77">
        <v>0</v>
      </c>
      <c r="V116" s="77"/>
      <c r="W116" s="77">
        <v>0</v>
      </c>
      <c r="X116" s="77"/>
      <c r="Y116" s="77">
        <v>6324</v>
      </c>
      <c r="Z116" s="77"/>
      <c r="AA116" s="77">
        <v>865500</v>
      </c>
      <c r="AB116" s="77"/>
      <c r="AC116" s="77">
        <v>0</v>
      </c>
      <c r="AD116" s="77"/>
      <c r="AE116" s="77">
        <v>990805</v>
      </c>
      <c r="AF116" s="77"/>
      <c r="AG116" s="77">
        <f>16000+1700</f>
        <v>17700</v>
      </c>
      <c r="AH116" s="77"/>
      <c r="AI116" s="77">
        <f t="shared" si="3"/>
        <v>3989714</v>
      </c>
      <c r="AJ116" s="24"/>
      <c r="AK116" s="15" t="str">
        <f>'Gen Rev'!A116</f>
        <v>Carrollton</v>
      </c>
      <c r="AL116" s="15" t="str">
        <f t="shared" si="4"/>
        <v>Carrollton</v>
      </c>
      <c r="AM116" s="15" t="b">
        <f t="shared" si="5"/>
        <v>1</v>
      </c>
    </row>
    <row r="117" spans="1:42" ht="12" customHeight="1" x14ac:dyDescent="0.2">
      <c r="A117" s="1" t="s">
        <v>917</v>
      </c>
      <c r="B117" s="1"/>
      <c r="C117" s="1" t="s">
        <v>470</v>
      </c>
      <c r="E117" s="77">
        <v>14426.47</v>
      </c>
      <c r="F117" s="77"/>
      <c r="G117" s="77">
        <v>0</v>
      </c>
      <c r="H117" s="77"/>
      <c r="I117" s="77">
        <v>32389.69</v>
      </c>
      <c r="J117" s="77"/>
      <c r="K117" s="77">
        <v>4436.84</v>
      </c>
      <c r="L117" s="77"/>
      <c r="M117" s="77">
        <v>41446.01</v>
      </c>
      <c r="N117" s="77"/>
      <c r="O117" s="77">
        <v>1900.04</v>
      </c>
      <c r="P117" s="77"/>
      <c r="Q117" s="77">
        <v>252.96</v>
      </c>
      <c r="R117" s="77"/>
      <c r="S117" s="77">
        <v>0</v>
      </c>
      <c r="T117" s="77"/>
      <c r="U117" s="77">
        <v>0</v>
      </c>
      <c r="V117" s="77"/>
      <c r="W117" s="77">
        <v>0</v>
      </c>
      <c r="X117" s="77"/>
      <c r="Y117" s="77">
        <v>0</v>
      </c>
      <c r="Z117" s="77"/>
      <c r="AA117" s="77">
        <v>0</v>
      </c>
      <c r="AB117" s="77"/>
      <c r="AC117" s="77">
        <v>0</v>
      </c>
      <c r="AD117" s="77"/>
      <c r="AE117" s="77">
        <v>0</v>
      </c>
      <c r="AF117" s="77"/>
      <c r="AG117" s="77">
        <v>0</v>
      </c>
      <c r="AH117" s="77"/>
      <c r="AI117" s="77">
        <f t="shared" si="3"/>
        <v>94852.010000000009</v>
      </c>
      <c r="AJ117" s="24"/>
      <c r="AK117" s="15" t="str">
        <f>'Gen Rev'!A117</f>
        <v>Casstown</v>
      </c>
      <c r="AL117" s="15" t="str">
        <f t="shared" si="4"/>
        <v>Casstown</v>
      </c>
      <c r="AM117" s="15" t="b">
        <f t="shared" si="5"/>
        <v>1</v>
      </c>
      <c r="AN117" s="31"/>
      <c r="AO117" s="31"/>
      <c r="AP117" s="31"/>
    </row>
    <row r="118" spans="1:42" ht="12" customHeight="1" x14ac:dyDescent="0.2">
      <c r="A118" s="1" t="s">
        <v>60</v>
      </c>
      <c r="B118" s="1"/>
      <c r="C118" s="1" t="s">
        <v>755</v>
      </c>
      <c r="E118" s="77">
        <v>116088.05</v>
      </c>
      <c r="F118" s="77"/>
      <c r="G118" s="77">
        <v>0</v>
      </c>
      <c r="H118" s="77"/>
      <c r="I118" s="77">
        <v>102639.54</v>
      </c>
      <c r="J118" s="77"/>
      <c r="K118" s="77">
        <v>2.12</v>
      </c>
      <c r="L118" s="77"/>
      <c r="M118" s="77">
        <v>46.69</v>
      </c>
      <c r="N118" s="77"/>
      <c r="O118" s="77">
        <v>23657.84</v>
      </c>
      <c r="P118" s="77"/>
      <c r="Q118" s="77">
        <v>423.7</v>
      </c>
      <c r="R118" s="77"/>
      <c r="S118" s="77">
        <v>119.88</v>
      </c>
      <c r="T118" s="77"/>
      <c r="U118" s="77">
        <v>0</v>
      </c>
      <c r="V118" s="77"/>
      <c r="W118" s="77">
        <v>0</v>
      </c>
      <c r="X118" s="77"/>
      <c r="Y118" s="77">
        <v>0</v>
      </c>
      <c r="Z118" s="77"/>
      <c r="AA118" s="77">
        <v>0</v>
      </c>
      <c r="AB118" s="77"/>
      <c r="AC118" s="77">
        <v>0</v>
      </c>
      <c r="AD118" s="77"/>
      <c r="AE118" s="77">
        <v>20000</v>
      </c>
      <c r="AF118" s="77"/>
      <c r="AG118" s="77">
        <v>0</v>
      </c>
      <c r="AH118" s="77"/>
      <c r="AI118" s="77">
        <f t="shared" si="3"/>
        <v>262977.82</v>
      </c>
      <c r="AJ118" s="24"/>
      <c r="AK118" s="15" t="str">
        <f>'Gen Rev'!A118</f>
        <v>Castalia</v>
      </c>
      <c r="AL118" s="15" t="str">
        <f t="shared" si="4"/>
        <v>Castalia</v>
      </c>
      <c r="AM118" s="15" t="b">
        <f t="shared" si="5"/>
        <v>1</v>
      </c>
      <c r="AN118" s="30"/>
      <c r="AO118" s="30"/>
      <c r="AP118" s="30"/>
    </row>
    <row r="119" spans="1:42" s="31" customFormat="1" ht="12" hidden="1" customHeight="1" x14ac:dyDescent="0.2">
      <c r="A119" s="1" t="s">
        <v>51</v>
      </c>
      <c r="B119" s="1"/>
      <c r="C119" s="1" t="s">
        <v>329</v>
      </c>
      <c r="D119" s="15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>
        <f t="shared" si="3"/>
        <v>0</v>
      </c>
      <c r="AJ119" s="24"/>
      <c r="AK119" s="15" t="str">
        <f>'Gen Rev'!A119</f>
        <v>Castine</v>
      </c>
      <c r="AL119" s="15" t="str">
        <f t="shared" si="4"/>
        <v>Castine</v>
      </c>
      <c r="AM119" s="15" t="b">
        <f t="shared" si="5"/>
        <v>1</v>
      </c>
    </row>
    <row r="120" spans="1:42" s="31" customFormat="1" ht="12" customHeight="1" x14ac:dyDescent="0.2">
      <c r="A120" s="1" t="s">
        <v>34</v>
      </c>
      <c r="B120" s="1"/>
      <c r="C120" s="1" t="s">
        <v>746</v>
      </c>
      <c r="D120" s="15"/>
      <c r="E120" s="77">
        <v>4444.5</v>
      </c>
      <c r="F120" s="77"/>
      <c r="G120" s="77">
        <v>41541.75</v>
      </c>
      <c r="H120" s="77"/>
      <c r="I120" s="77">
        <v>21705.7</v>
      </c>
      <c r="J120" s="77"/>
      <c r="K120" s="77">
        <v>0</v>
      </c>
      <c r="L120" s="77"/>
      <c r="M120" s="77">
        <v>0</v>
      </c>
      <c r="N120" s="77"/>
      <c r="O120" s="77">
        <v>17636.05</v>
      </c>
      <c r="P120" s="77"/>
      <c r="Q120" s="77">
        <v>4.41</v>
      </c>
      <c r="R120" s="77"/>
      <c r="S120" s="77">
        <v>149.5</v>
      </c>
      <c r="T120" s="77"/>
      <c r="U120" s="77">
        <v>0</v>
      </c>
      <c r="V120" s="77"/>
      <c r="W120" s="77">
        <v>0</v>
      </c>
      <c r="X120" s="77"/>
      <c r="Y120" s="77">
        <v>0</v>
      </c>
      <c r="Z120" s="77"/>
      <c r="AA120" s="77">
        <v>0</v>
      </c>
      <c r="AB120" s="77"/>
      <c r="AC120" s="77">
        <v>0</v>
      </c>
      <c r="AD120" s="77"/>
      <c r="AE120" s="77">
        <v>0</v>
      </c>
      <c r="AF120" s="77"/>
      <c r="AG120" s="77">
        <v>0</v>
      </c>
      <c r="AH120" s="77"/>
      <c r="AI120" s="77">
        <f t="shared" si="3"/>
        <v>85481.91</v>
      </c>
      <c r="AJ120" s="24"/>
      <c r="AK120" s="15" t="str">
        <f>'Gen Rev'!A120</f>
        <v>Catawba</v>
      </c>
      <c r="AL120" s="15" t="str">
        <f t="shared" si="4"/>
        <v>Catawba</v>
      </c>
      <c r="AM120" s="15" t="b">
        <f t="shared" si="5"/>
        <v>1</v>
      </c>
      <c r="AN120" s="15"/>
      <c r="AO120" s="15"/>
      <c r="AP120" s="15"/>
    </row>
    <row r="121" spans="1:42" ht="12" customHeight="1" x14ac:dyDescent="0.2">
      <c r="A121" s="1" t="s">
        <v>182</v>
      </c>
      <c r="B121" s="1"/>
      <c r="C121" s="1" t="s">
        <v>792</v>
      </c>
      <c r="E121" s="77">
        <v>2264.5700000000002</v>
      </c>
      <c r="F121" s="77"/>
      <c r="G121" s="77">
        <v>17837.919999999998</v>
      </c>
      <c r="H121" s="77"/>
      <c r="I121" s="77">
        <v>41377.589999999997</v>
      </c>
      <c r="J121" s="77"/>
      <c r="K121" s="77">
        <v>0</v>
      </c>
      <c r="L121" s="77"/>
      <c r="M121" s="77">
        <v>150</v>
      </c>
      <c r="N121" s="77"/>
      <c r="O121" s="77">
        <v>710.6</v>
      </c>
      <c r="P121" s="77"/>
      <c r="Q121" s="77">
        <v>15.79</v>
      </c>
      <c r="R121" s="77"/>
      <c r="S121" s="77">
        <v>80</v>
      </c>
      <c r="T121" s="77"/>
      <c r="U121" s="77">
        <v>0</v>
      </c>
      <c r="V121" s="77"/>
      <c r="W121" s="77">
        <v>0</v>
      </c>
      <c r="X121" s="77"/>
      <c r="Y121" s="77">
        <v>0</v>
      </c>
      <c r="Z121" s="77"/>
      <c r="AA121" s="77">
        <v>0</v>
      </c>
      <c r="AB121" s="77"/>
      <c r="AC121" s="77">
        <v>0</v>
      </c>
      <c r="AD121" s="77"/>
      <c r="AE121" s="77">
        <v>0</v>
      </c>
      <c r="AF121" s="77"/>
      <c r="AG121" s="77">
        <v>6884.18</v>
      </c>
      <c r="AH121" s="77"/>
      <c r="AI121" s="77">
        <f t="shared" si="3"/>
        <v>69320.649999999994</v>
      </c>
      <c r="AJ121" s="24"/>
      <c r="AK121" s="15" t="str">
        <f>'Gen Rev'!A121</f>
        <v>Cecil</v>
      </c>
      <c r="AL121" s="15" t="str">
        <f t="shared" si="4"/>
        <v>Cecil</v>
      </c>
      <c r="AM121" s="15" t="b">
        <f t="shared" si="5"/>
        <v>1</v>
      </c>
      <c r="AN121" s="31"/>
      <c r="AO121" s="31"/>
      <c r="AP121" s="31"/>
    </row>
    <row r="122" spans="1:42" ht="12" customHeight="1" x14ac:dyDescent="0.2">
      <c r="A122" s="15" t="s">
        <v>370</v>
      </c>
      <c r="C122" s="15" t="s">
        <v>371</v>
      </c>
      <c r="E122" s="77">
        <v>87891</v>
      </c>
      <c r="F122" s="77"/>
      <c r="G122" s="77">
        <v>527894</v>
      </c>
      <c r="H122" s="77"/>
      <c r="I122" s="77">
        <f>116211+2888</f>
        <v>119099</v>
      </c>
      <c r="J122" s="77"/>
      <c r="K122" s="77">
        <v>0</v>
      </c>
      <c r="L122" s="77"/>
      <c r="M122" s="77">
        <v>260</v>
      </c>
      <c r="N122" s="77"/>
      <c r="O122" s="77">
        <v>1732</v>
      </c>
      <c r="P122" s="77"/>
      <c r="Q122" s="77">
        <v>3161</v>
      </c>
      <c r="R122" s="77"/>
      <c r="S122" s="77">
        <v>495459</v>
      </c>
      <c r="T122" s="77"/>
      <c r="U122" s="77">
        <v>0</v>
      </c>
      <c r="V122" s="77"/>
      <c r="W122" s="77">
        <v>0</v>
      </c>
      <c r="X122" s="77"/>
      <c r="Y122" s="77">
        <v>76230</v>
      </c>
      <c r="Z122" s="77"/>
      <c r="AA122" s="77">
        <v>361400</v>
      </c>
      <c r="AB122" s="77"/>
      <c r="AC122" s="77">
        <v>0</v>
      </c>
      <c r="AD122" s="77"/>
      <c r="AE122" s="77">
        <v>0</v>
      </c>
      <c r="AF122" s="77"/>
      <c r="AG122" s="77">
        <v>-206007</v>
      </c>
      <c r="AH122" s="77"/>
      <c r="AI122" s="77">
        <f t="shared" si="3"/>
        <v>1467119</v>
      </c>
      <c r="AJ122" s="24"/>
      <c r="AK122" s="15" t="str">
        <f>'Gen Rev'!A122</f>
        <v>Cedarville</v>
      </c>
      <c r="AL122" s="15" t="str">
        <f t="shared" si="4"/>
        <v>Cedarville</v>
      </c>
      <c r="AM122" s="15" t="b">
        <f t="shared" si="5"/>
        <v>1</v>
      </c>
      <c r="AN122" s="31"/>
      <c r="AO122" s="31"/>
      <c r="AP122" s="31"/>
    </row>
    <row r="123" spans="1:42" s="31" customFormat="1" ht="12" customHeight="1" x14ac:dyDescent="0.2">
      <c r="A123" s="1" t="s">
        <v>121</v>
      </c>
      <c r="B123" s="1"/>
      <c r="C123" s="1" t="s">
        <v>771</v>
      </c>
      <c r="D123" s="15"/>
      <c r="E123" s="77">
        <v>167215.12</v>
      </c>
      <c r="F123" s="77"/>
      <c r="G123" s="77">
        <v>336832.83</v>
      </c>
      <c r="H123" s="77"/>
      <c r="I123" s="77">
        <v>101475.42</v>
      </c>
      <c r="J123" s="77"/>
      <c r="K123" s="77">
        <v>0</v>
      </c>
      <c r="L123" s="77"/>
      <c r="M123" s="77">
        <v>0</v>
      </c>
      <c r="N123" s="77"/>
      <c r="O123" s="77">
        <v>19426.330000000002</v>
      </c>
      <c r="P123" s="77"/>
      <c r="Q123" s="77">
        <v>1076.94</v>
      </c>
      <c r="R123" s="77"/>
      <c r="S123" s="77">
        <v>11523.13</v>
      </c>
      <c r="T123" s="77"/>
      <c r="U123" s="77">
        <v>0</v>
      </c>
      <c r="V123" s="77"/>
      <c r="W123" s="77">
        <v>0</v>
      </c>
      <c r="X123" s="77"/>
      <c r="Y123" s="77">
        <v>0</v>
      </c>
      <c r="Z123" s="77"/>
      <c r="AA123" s="77">
        <v>50.15</v>
      </c>
      <c r="AB123" s="77"/>
      <c r="AC123" s="77">
        <v>0</v>
      </c>
      <c r="AD123" s="77"/>
      <c r="AE123" s="77">
        <v>0</v>
      </c>
      <c r="AF123" s="77"/>
      <c r="AG123" s="77">
        <v>0</v>
      </c>
      <c r="AH123" s="77"/>
      <c r="AI123" s="77">
        <f t="shared" si="3"/>
        <v>637599.91999999993</v>
      </c>
      <c r="AJ123" s="24"/>
      <c r="AK123" s="15" t="str">
        <f>'Gen Rev'!A123</f>
        <v>Centerburg</v>
      </c>
      <c r="AL123" s="15" t="str">
        <f t="shared" si="4"/>
        <v>Centerburg</v>
      </c>
      <c r="AM123" s="15" t="b">
        <f t="shared" si="5"/>
        <v>1</v>
      </c>
    </row>
    <row r="124" spans="1:42" ht="12" customHeight="1" x14ac:dyDescent="0.2">
      <c r="A124" s="1" t="s">
        <v>826</v>
      </c>
      <c r="B124" s="1"/>
      <c r="C124" s="1" t="s">
        <v>760</v>
      </c>
      <c r="E124" s="77">
        <v>18.86</v>
      </c>
      <c r="F124" s="77"/>
      <c r="G124" s="77">
        <v>0</v>
      </c>
      <c r="H124" s="77"/>
      <c r="I124" s="77">
        <v>50067.12</v>
      </c>
      <c r="J124" s="77"/>
      <c r="K124" s="77">
        <v>0</v>
      </c>
      <c r="L124" s="77"/>
      <c r="M124" s="77">
        <v>6517.3</v>
      </c>
      <c r="N124" s="77"/>
      <c r="O124" s="77">
        <v>0</v>
      </c>
      <c r="P124" s="77"/>
      <c r="Q124" s="77">
        <v>0</v>
      </c>
      <c r="R124" s="77"/>
      <c r="S124" s="77">
        <v>11957.02</v>
      </c>
      <c r="T124" s="77"/>
      <c r="U124" s="77">
        <v>0</v>
      </c>
      <c r="V124" s="77"/>
      <c r="W124" s="77">
        <v>0</v>
      </c>
      <c r="X124" s="77"/>
      <c r="Y124" s="77">
        <v>0</v>
      </c>
      <c r="Z124" s="77"/>
      <c r="AA124" s="77">
        <v>0</v>
      </c>
      <c r="AB124" s="77"/>
      <c r="AC124" s="77">
        <v>0</v>
      </c>
      <c r="AD124" s="77"/>
      <c r="AE124" s="77">
        <v>0</v>
      </c>
      <c r="AF124" s="77"/>
      <c r="AG124" s="77">
        <v>0</v>
      </c>
      <c r="AH124" s="77"/>
      <c r="AI124" s="77">
        <f t="shared" si="3"/>
        <v>68560.3</v>
      </c>
      <c r="AJ124" s="24"/>
      <c r="AK124" s="15" t="str">
        <f>'Gen Rev'!A124</f>
        <v>Centerville</v>
      </c>
      <c r="AL124" s="15" t="str">
        <f t="shared" si="4"/>
        <v>Centerville</v>
      </c>
      <c r="AM124" s="15" t="b">
        <f t="shared" si="5"/>
        <v>1</v>
      </c>
      <c r="AN124" s="31"/>
      <c r="AO124" s="31"/>
      <c r="AP124" s="31"/>
    </row>
    <row r="125" spans="1:42" ht="12" customHeight="1" x14ac:dyDescent="0.2">
      <c r="A125" s="15" t="s">
        <v>319</v>
      </c>
      <c r="C125" s="15" t="s">
        <v>316</v>
      </c>
      <c r="E125" s="77">
        <v>1736614</v>
      </c>
      <c r="F125" s="77"/>
      <c r="G125" s="77">
        <v>2884161</v>
      </c>
      <c r="H125" s="77"/>
      <c r="I125" s="77">
        <v>1136165</v>
      </c>
      <c r="J125" s="77"/>
      <c r="K125" s="77">
        <v>-125213</v>
      </c>
      <c r="L125" s="77"/>
      <c r="M125" s="77">
        <v>932757</v>
      </c>
      <c r="N125" s="77"/>
      <c r="O125" s="77">
        <v>93113</v>
      </c>
      <c r="P125" s="77"/>
      <c r="Q125" s="77">
        <v>5749</v>
      </c>
      <c r="R125" s="77"/>
      <c r="S125" s="77">
        <v>489683</v>
      </c>
      <c r="T125" s="77"/>
      <c r="U125" s="77">
        <v>0</v>
      </c>
      <c r="V125" s="77"/>
      <c r="W125" s="77">
        <v>0</v>
      </c>
      <c r="X125" s="77"/>
      <c r="Y125" s="77">
        <v>0</v>
      </c>
      <c r="Z125" s="77"/>
      <c r="AA125" s="77">
        <v>753653</v>
      </c>
      <c r="AB125" s="77"/>
      <c r="AC125" s="77">
        <v>95000</v>
      </c>
      <c r="AD125" s="77"/>
      <c r="AE125" s="77">
        <v>0</v>
      </c>
      <c r="AF125" s="77"/>
      <c r="AG125" s="77">
        <v>0</v>
      </c>
      <c r="AH125" s="77"/>
      <c r="AI125" s="77">
        <f t="shared" si="3"/>
        <v>8001682</v>
      </c>
      <c r="AJ125" s="24"/>
      <c r="AK125" s="15" t="str">
        <f>'Gen Rev'!A125</f>
        <v>Chagrin Falls</v>
      </c>
      <c r="AL125" s="15" t="str">
        <f t="shared" si="4"/>
        <v>Chagrin Falls</v>
      </c>
      <c r="AM125" s="15" t="b">
        <f t="shared" si="5"/>
        <v>1</v>
      </c>
      <c r="AN125" s="32"/>
      <c r="AO125" s="32"/>
      <c r="AP125" s="32"/>
    </row>
    <row r="126" spans="1:42" s="31" customFormat="1" ht="12" customHeight="1" x14ac:dyDescent="0.2">
      <c r="A126" s="15" t="s">
        <v>311</v>
      </c>
      <c r="B126" s="15"/>
      <c r="C126" s="15" t="s">
        <v>312</v>
      </c>
      <c r="D126" s="15"/>
      <c r="E126" s="77">
        <f>2267+4724</f>
        <v>6991</v>
      </c>
      <c r="F126" s="77"/>
      <c r="G126" s="77">
        <v>0</v>
      </c>
      <c r="H126" s="77"/>
      <c r="I126" s="77">
        <f>7502+3397</f>
        <v>10899</v>
      </c>
      <c r="J126" s="77"/>
      <c r="K126" s="77">
        <v>0</v>
      </c>
      <c r="L126" s="77"/>
      <c r="M126" s="77">
        <v>0</v>
      </c>
      <c r="N126" s="77"/>
      <c r="O126" s="77">
        <v>5</v>
      </c>
      <c r="P126" s="77"/>
      <c r="Q126" s="77">
        <f>39+47</f>
        <v>86</v>
      </c>
      <c r="R126" s="77"/>
      <c r="S126" s="77">
        <v>80</v>
      </c>
      <c r="T126" s="77"/>
      <c r="U126" s="77">
        <v>0</v>
      </c>
      <c r="V126" s="77"/>
      <c r="W126" s="77">
        <v>0</v>
      </c>
      <c r="X126" s="77"/>
      <c r="Y126" s="77">
        <v>0</v>
      </c>
      <c r="Z126" s="77"/>
      <c r="AA126" s="77">
        <v>0</v>
      </c>
      <c r="AB126" s="77"/>
      <c r="AC126" s="77">
        <v>0</v>
      </c>
      <c r="AD126" s="77"/>
      <c r="AE126" s="77">
        <v>0</v>
      </c>
      <c r="AF126" s="77"/>
      <c r="AG126" s="77">
        <v>0</v>
      </c>
      <c r="AH126" s="77"/>
      <c r="AI126" s="77">
        <f t="shared" si="3"/>
        <v>18061</v>
      </c>
      <c r="AJ126" s="24"/>
      <c r="AK126" s="15" t="str">
        <f>'Gen Rev'!A126</f>
        <v>Chatfield</v>
      </c>
      <c r="AL126" s="15" t="str">
        <f t="shared" si="4"/>
        <v>Chatfield</v>
      </c>
      <c r="AM126" s="15" t="b">
        <f t="shared" si="5"/>
        <v>1</v>
      </c>
    </row>
    <row r="127" spans="1:42" s="31" customFormat="1" ht="12" customHeight="1" x14ac:dyDescent="0.2">
      <c r="A127" s="1" t="s">
        <v>273</v>
      </c>
      <c r="B127" s="1"/>
      <c r="C127" s="1" t="s">
        <v>271</v>
      </c>
      <c r="D127" s="15"/>
      <c r="E127" s="77">
        <v>38699.72</v>
      </c>
      <c r="F127" s="77"/>
      <c r="G127" s="77">
        <v>0</v>
      </c>
      <c r="H127" s="77"/>
      <c r="I127" s="77">
        <v>61504.959999999999</v>
      </c>
      <c r="J127" s="77"/>
      <c r="K127" s="77">
        <v>0</v>
      </c>
      <c r="L127" s="77"/>
      <c r="M127" s="77">
        <v>0</v>
      </c>
      <c r="N127" s="77"/>
      <c r="O127" s="77">
        <v>520</v>
      </c>
      <c r="P127" s="77"/>
      <c r="Q127" s="77">
        <v>111.6</v>
      </c>
      <c r="R127" s="77"/>
      <c r="S127" s="77">
        <v>25487.19</v>
      </c>
      <c r="T127" s="77"/>
      <c r="U127" s="77">
        <v>0</v>
      </c>
      <c r="V127" s="77"/>
      <c r="W127" s="77">
        <v>0</v>
      </c>
      <c r="X127" s="77"/>
      <c r="Y127" s="77">
        <v>0</v>
      </c>
      <c r="Z127" s="77"/>
      <c r="AA127" s="77">
        <v>0</v>
      </c>
      <c r="AB127" s="77"/>
      <c r="AC127" s="77">
        <v>0</v>
      </c>
      <c r="AD127" s="77"/>
      <c r="AE127" s="77">
        <v>0</v>
      </c>
      <c r="AF127" s="77"/>
      <c r="AG127" s="77">
        <f>1735.95+2900</f>
        <v>4635.95</v>
      </c>
      <c r="AH127" s="77"/>
      <c r="AI127" s="77">
        <f t="shared" si="3"/>
        <v>130959.42</v>
      </c>
      <c r="AJ127" s="24"/>
      <c r="AK127" s="15" t="str">
        <f>'Gen Rev'!A127</f>
        <v>Chauncey</v>
      </c>
      <c r="AL127" s="15" t="str">
        <f t="shared" si="4"/>
        <v>Chauncey</v>
      </c>
      <c r="AM127" s="15" t="b">
        <f t="shared" si="5"/>
        <v>1</v>
      </c>
    </row>
    <row r="128" spans="1:42" ht="12" customHeight="1" x14ac:dyDescent="0.2">
      <c r="A128" s="15" t="s">
        <v>660</v>
      </c>
      <c r="C128" s="15" t="s">
        <v>661</v>
      </c>
      <c r="E128" s="77">
        <f>6925+9157+742</f>
        <v>16824</v>
      </c>
      <c r="F128" s="77"/>
      <c r="G128" s="77">
        <v>0</v>
      </c>
      <c r="H128" s="77"/>
      <c r="I128" s="77">
        <v>2412</v>
      </c>
      <c r="J128" s="77"/>
      <c r="K128" s="77">
        <v>0</v>
      </c>
      <c r="L128" s="77"/>
      <c r="M128" s="77">
        <v>0</v>
      </c>
      <c r="N128" s="77"/>
      <c r="O128" s="77">
        <v>0</v>
      </c>
      <c r="P128" s="77"/>
      <c r="Q128" s="77">
        <v>6</v>
      </c>
      <c r="R128" s="77"/>
      <c r="S128" s="77">
        <v>1957</v>
      </c>
      <c r="T128" s="77"/>
      <c r="U128" s="77">
        <v>0</v>
      </c>
      <c r="V128" s="77"/>
      <c r="W128" s="77">
        <v>0</v>
      </c>
      <c r="X128" s="77"/>
      <c r="Y128" s="77">
        <v>0</v>
      </c>
      <c r="Z128" s="77"/>
      <c r="AA128" s="77">
        <v>0</v>
      </c>
      <c r="AB128" s="77"/>
      <c r="AC128" s="77">
        <v>0</v>
      </c>
      <c r="AD128" s="77"/>
      <c r="AE128" s="77">
        <v>0</v>
      </c>
      <c r="AF128" s="77"/>
      <c r="AG128" s="77">
        <v>0</v>
      </c>
      <c r="AH128" s="77"/>
      <c r="AI128" s="77">
        <f t="shared" si="3"/>
        <v>21199</v>
      </c>
      <c r="AJ128" s="24"/>
      <c r="AK128" s="15" t="str">
        <f>'Gen Rev'!A128</f>
        <v>Cherry Fork</v>
      </c>
      <c r="AL128" s="15" t="str">
        <f t="shared" si="4"/>
        <v>Cherry Fork</v>
      </c>
      <c r="AM128" s="15" t="b">
        <f t="shared" si="5"/>
        <v>1</v>
      </c>
      <c r="AN128" s="31"/>
      <c r="AO128" s="31"/>
      <c r="AP128" s="31"/>
    </row>
    <row r="129" spans="1:42" s="31" customFormat="1" ht="12" customHeight="1" x14ac:dyDescent="0.2">
      <c r="A129" s="1" t="s">
        <v>436</v>
      </c>
      <c r="B129" s="1"/>
      <c r="C129" s="1" t="s">
        <v>437</v>
      </c>
      <c r="D129" s="15"/>
      <c r="E129" s="77">
        <v>47008.959999999999</v>
      </c>
      <c r="F129" s="77"/>
      <c r="G129" s="77">
        <v>0</v>
      </c>
      <c r="H129" s="77"/>
      <c r="I129" s="77">
        <v>92452.04</v>
      </c>
      <c r="J129" s="77"/>
      <c r="K129" s="77">
        <v>0</v>
      </c>
      <c r="L129" s="77"/>
      <c r="M129" s="77">
        <v>0</v>
      </c>
      <c r="N129" s="77"/>
      <c r="O129" s="77">
        <v>162733.01</v>
      </c>
      <c r="P129" s="77"/>
      <c r="Q129" s="77">
        <v>57.54</v>
      </c>
      <c r="R129" s="77"/>
      <c r="S129" s="77">
        <v>14049.11</v>
      </c>
      <c r="T129" s="77"/>
      <c r="U129" s="77">
        <v>0</v>
      </c>
      <c r="V129" s="77"/>
      <c r="W129" s="77">
        <v>0</v>
      </c>
      <c r="X129" s="77"/>
      <c r="Y129" s="77">
        <v>0</v>
      </c>
      <c r="Z129" s="77"/>
      <c r="AA129" s="77">
        <v>0</v>
      </c>
      <c r="AB129" s="77"/>
      <c r="AC129" s="77">
        <v>0</v>
      </c>
      <c r="AD129" s="77"/>
      <c r="AE129" s="77">
        <f>90961.38+33588.82</f>
        <v>124550.20000000001</v>
      </c>
      <c r="AF129" s="77"/>
      <c r="AG129" s="77">
        <v>0</v>
      </c>
      <c r="AH129" s="77"/>
      <c r="AI129" s="77">
        <f t="shared" si="3"/>
        <v>440850.86</v>
      </c>
      <c r="AJ129" s="24"/>
      <c r="AK129" s="15" t="str">
        <f>'Gen Rev'!A129</f>
        <v>Chesapeake</v>
      </c>
      <c r="AL129" s="15" t="str">
        <f t="shared" si="4"/>
        <v>Chesapeake</v>
      </c>
      <c r="AM129" s="15" t="b">
        <f t="shared" si="5"/>
        <v>1</v>
      </c>
      <c r="AN129" s="15"/>
      <c r="AO129" s="15"/>
      <c r="AP129" s="15"/>
    </row>
    <row r="130" spans="1:42" ht="12" customHeight="1" x14ac:dyDescent="0.2">
      <c r="A130" s="1" t="s">
        <v>79</v>
      </c>
      <c r="B130" s="1"/>
      <c r="C130" s="1" t="s">
        <v>760</v>
      </c>
      <c r="E130" s="77">
        <v>827.55</v>
      </c>
      <c r="F130" s="77"/>
      <c r="G130" s="77">
        <v>0</v>
      </c>
      <c r="H130" s="77"/>
      <c r="I130" s="77">
        <v>60976.62</v>
      </c>
      <c r="J130" s="77"/>
      <c r="K130" s="77">
        <v>0</v>
      </c>
      <c r="L130" s="77"/>
      <c r="M130" s="77">
        <v>0</v>
      </c>
      <c r="N130" s="77"/>
      <c r="O130" s="77">
        <v>834.95</v>
      </c>
      <c r="P130" s="77"/>
      <c r="Q130" s="77">
        <v>32.39</v>
      </c>
      <c r="R130" s="77"/>
      <c r="S130" s="77">
        <v>10962.12</v>
      </c>
      <c r="T130" s="77"/>
      <c r="U130" s="77">
        <v>0</v>
      </c>
      <c r="V130" s="77"/>
      <c r="W130" s="77">
        <v>0</v>
      </c>
      <c r="X130" s="77"/>
      <c r="Y130" s="77">
        <v>0</v>
      </c>
      <c r="Z130" s="77"/>
      <c r="AA130" s="77">
        <v>0</v>
      </c>
      <c r="AB130" s="77"/>
      <c r="AC130" s="77">
        <v>0</v>
      </c>
      <c r="AD130" s="77"/>
      <c r="AE130" s="77">
        <v>0</v>
      </c>
      <c r="AF130" s="77"/>
      <c r="AG130" s="77">
        <v>0</v>
      </c>
      <c r="AH130" s="77"/>
      <c r="AI130" s="77">
        <f t="shared" si="3"/>
        <v>73633.63</v>
      </c>
      <c r="AJ130" s="24"/>
      <c r="AK130" s="15" t="str">
        <f>'Gen Rev'!A130</f>
        <v>Cheshire</v>
      </c>
      <c r="AL130" s="15" t="str">
        <f t="shared" si="4"/>
        <v>Cheshire</v>
      </c>
      <c r="AM130" s="15" t="b">
        <f t="shared" si="5"/>
        <v>1</v>
      </c>
    </row>
    <row r="131" spans="1:42" s="31" customFormat="1" ht="12" customHeight="1" x14ac:dyDescent="0.2">
      <c r="A131" s="15" t="s">
        <v>881</v>
      </c>
      <c r="B131" s="15"/>
      <c r="C131" s="15" t="s">
        <v>882</v>
      </c>
      <c r="D131" s="15"/>
      <c r="E131" s="77">
        <v>12540</v>
      </c>
      <c r="F131" s="77"/>
      <c r="G131" s="77">
        <v>18414</v>
      </c>
      <c r="H131" s="77"/>
      <c r="I131" s="77">
        <v>0</v>
      </c>
      <c r="J131" s="77"/>
      <c r="K131" s="77">
        <v>0</v>
      </c>
      <c r="L131" s="77"/>
      <c r="M131" s="77">
        <v>35388</v>
      </c>
      <c r="N131" s="77"/>
      <c r="O131" s="77">
        <v>100</v>
      </c>
      <c r="P131" s="77"/>
      <c r="Q131" s="77">
        <v>3221</v>
      </c>
      <c r="R131" s="77"/>
      <c r="S131" s="77">
        <v>242</v>
      </c>
      <c r="T131" s="77"/>
      <c r="U131" s="77">
        <v>0</v>
      </c>
      <c r="V131" s="77"/>
      <c r="W131" s="77">
        <v>0</v>
      </c>
      <c r="X131" s="77"/>
      <c r="Y131" s="77">
        <v>0</v>
      </c>
      <c r="Z131" s="77"/>
      <c r="AA131" s="77">
        <v>0</v>
      </c>
      <c r="AB131" s="77"/>
      <c r="AC131" s="77">
        <v>0</v>
      </c>
      <c r="AD131" s="77"/>
      <c r="AE131" s="77">
        <v>0</v>
      </c>
      <c r="AF131" s="77"/>
      <c r="AG131" s="77">
        <v>0</v>
      </c>
      <c r="AH131" s="77"/>
      <c r="AI131" s="77">
        <f t="shared" si="3"/>
        <v>69905</v>
      </c>
      <c r="AJ131" s="24"/>
      <c r="AK131" s="15" t="str">
        <f>'Gen Rev'!A131</f>
        <v>Chesterhill</v>
      </c>
      <c r="AL131" s="15" t="str">
        <f t="shared" si="4"/>
        <v>Chesterhill</v>
      </c>
      <c r="AM131" s="15" t="b">
        <f t="shared" si="5"/>
        <v>1</v>
      </c>
      <c r="AN131" s="15"/>
      <c r="AO131" s="15"/>
      <c r="AP131" s="15"/>
    </row>
    <row r="132" spans="1:42" ht="12" customHeight="1" x14ac:dyDescent="0.2">
      <c r="A132" s="1" t="s">
        <v>171</v>
      </c>
      <c r="B132" s="1"/>
      <c r="C132" s="1" t="s">
        <v>788</v>
      </c>
      <c r="E132" s="77">
        <v>32292.32</v>
      </c>
      <c r="F132" s="77"/>
      <c r="G132" s="77">
        <v>0</v>
      </c>
      <c r="H132" s="77"/>
      <c r="I132" s="77">
        <v>22796.98</v>
      </c>
      <c r="J132" s="77"/>
      <c r="K132" s="77">
        <v>0</v>
      </c>
      <c r="L132" s="77"/>
      <c r="M132" s="77">
        <v>2091.36</v>
      </c>
      <c r="N132" s="77"/>
      <c r="O132" s="77">
        <v>2453.15</v>
      </c>
      <c r="P132" s="77"/>
      <c r="Q132" s="77">
        <v>32.76</v>
      </c>
      <c r="R132" s="77"/>
      <c r="S132" s="77">
        <v>0</v>
      </c>
      <c r="T132" s="77"/>
      <c r="U132" s="77">
        <v>0</v>
      </c>
      <c r="V132" s="77"/>
      <c r="W132" s="77">
        <v>0</v>
      </c>
      <c r="X132" s="77"/>
      <c r="Y132" s="77">
        <v>0</v>
      </c>
      <c r="Z132" s="77"/>
      <c r="AA132" s="77">
        <v>0</v>
      </c>
      <c r="AB132" s="77"/>
      <c r="AC132" s="77">
        <v>0</v>
      </c>
      <c r="AD132" s="77"/>
      <c r="AE132" s="77">
        <v>0</v>
      </c>
      <c r="AF132" s="77"/>
      <c r="AG132" s="77">
        <v>0</v>
      </c>
      <c r="AH132" s="77"/>
      <c r="AI132" s="77">
        <f t="shared" si="3"/>
        <v>59666.570000000007</v>
      </c>
      <c r="AJ132" s="24"/>
      <c r="AK132" s="15" t="str">
        <f>'Gen Rev'!A132</f>
        <v>Chesterville</v>
      </c>
      <c r="AL132" s="15" t="str">
        <f t="shared" si="4"/>
        <v>Chesterville</v>
      </c>
      <c r="AM132" s="15" t="b">
        <f t="shared" si="5"/>
        <v>1</v>
      </c>
      <c r="AN132" s="32"/>
      <c r="AO132" s="32"/>
      <c r="AP132" s="32"/>
    </row>
    <row r="133" spans="1:42" ht="12" customHeight="1" x14ac:dyDescent="0.2">
      <c r="A133" s="1" t="s">
        <v>838</v>
      </c>
      <c r="B133" s="1"/>
      <c r="C133" s="1" t="s">
        <v>783</v>
      </c>
      <c r="E133" s="77">
        <v>34982.910000000003</v>
      </c>
      <c r="F133" s="77"/>
      <c r="G133" s="77">
        <v>0</v>
      </c>
      <c r="H133" s="77"/>
      <c r="I133" s="77">
        <v>132127.98000000001</v>
      </c>
      <c r="J133" s="77"/>
      <c r="K133" s="77">
        <v>0</v>
      </c>
      <c r="L133" s="77"/>
      <c r="M133" s="77">
        <v>2581</v>
      </c>
      <c r="N133" s="77"/>
      <c r="O133" s="77">
        <v>50</v>
      </c>
      <c r="P133" s="77"/>
      <c r="Q133" s="77">
        <v>3897.21</v>
      </c>
      <c r="R133" s="77"/>
      <c r="S133" s="77">
        <v>516.55999999999995</v>
      </c>
      <c r="T133" s="77"/>
      <c r="U133" s="77">
        <v>0</v>
      </c>
      <c r="V133" s="77"/>
      <c r="W133" s="77">
        <v>0</v>
      </c>
      <c r="X133" s="77"/>
      <c r="Y133" s="77">
        <v>29634</v>
      </c>
      <c r="Z133" s="77"/>
      <c r="AA133" s="77">
        <v>0</v>
      </c>
      <c r="AB133" s="77"/>
      <c r="AC133" s="77">
        <v>0</v>
      </c>
      <c r="AD133" s="77"/>
      <c r="AE133" s="77">
        <v>0</v>
      </c>
      <c r="AF133" s="77"/>
      <c r="AG133" s="77">
        <v>0</v>
      </c>
      <c r="AH133" s="77"/>
      <c r="AI133" s="77">
        <f t="shared" si="3"/>
        <v>203789.66</v>
      </c>
      <c r="AJ133" s="24"/>
      <c r="AK133" s="15" t="str">
        <f>'Gen Rev'!A133</f>
        <v>Chickasaw</v>
      </c>
      <c r="AL133" s="15" t="str">
        <f t="shared" si="4"/>
        <v>Chickasaw</v>
      </c>
      <c r="AM133" s="15" t="b">
        <f t="shared" si="5"/>
        <v>1</v>
      </c>
    </row>
    <row r="134" spans="1:42" ht="12" customHeight="1" x14ac:dyDescent="0.2">
      <c r="A134" s="15" t="s">
        <v>883</v>
      </c>
      <c r="C134" s="15" t="s">
        <v>295</v>
      </c>
      <c r="E134" s="77">
        <v>1524</v>
      </c>
      <c r="F134" s="77"/>
      <c r="G134" s="77">
        <v>0</v>
      </c>
      <c r="H134" s="77"/>
      <c r="I134" s="77">
        <f>15042+3476</f>
        <v>18518</v>
      </c>
      <c r="J134" s="77"/>
      <c r="K134" s="77">
        <v>0</v>
      </c>
      <c r="L134" s="77"/>
      <c r="M134" s="77">
        <v>0</v>
      </c>
      <c r="N134" s="77"/>
      <c r="O134" s="77">
        <v>0</v>
      </c>
      <c r="P134" s="77"/>
      <c r="Q134" s="77">
        <v>30</v>
      </c>
      <c r="R134" s="77"/>
      <c r="S134" s="77">
        <v>2373</v>
      </c>
      <c r="T134" s="77"/>
      <c r="U134" s="77">
        <v>0</v>
      </c>
      <c r="V134" s="77"/>
      <c r="W134" s="77">
        <v>0</v>
      </c>
      <c r="X134" s="77"/>
      <c r="Y134" s="77">
        <v>0</v>
      </c>
      <c r="Z134" s="77"/>
      <c r="AA134" s="77">
        <v>0</v>
      </c>
      <c r="AB134" s="77"/>
      <c r="AC134" s="77">
        <v>0</v>
      </c>
      <c r="AD134" s="77"/>
      <c r="AE134" s="77">
        <v>0</v>
      </c>
      <c r="AF134" s="77"/>
      <c r="AG134" s="77">
        <v>0</v>
      </c>
      <c r="AH134" s="77"/>
      <c r="AI134" s="77">
        <f t="shared" si="3"/>
        <v>22445</v>
      </c>
      <c r="AJ134" s="24"/>
      <c r="AK134" s="15" t="str">
        <f>'Gen Rev'!A134</f>
        <v>Chilo</v>
      </c>
      <c r="AL134" s="15" t="str">
        <f t="shared" si="4"/>
        <v>Chilo</v>
      </c>
      <c r="AM134" s="15" t="b">
        <f t="shared" si="5"/>
        <v>1</v>
      </c>
    </row>
    <row r="135" spans="1:42" ht="12" customHeight="1" x14ac:dyDescent="0.2">
      <c r="A135" s="1" t="s">
        <v>152</v>
      </c>
      <c r="B135" s="1"/>
      <c r="C135" s="1" t="s">
        <v>781</v>
      </c>
      <c r="E135" s="77">
        <v>127945.18</v>
      </c>
      <c r="F135" s="77"/>
      <c r="G135" s="77">
        <v>0</v>
      </c>
      <c r="H135" s="77"/>
      <c r="I135" s="77">
        <v>85984.72</v>
      </c>
      <c r="J135" s="77"/>
      <c r="K135" s="77">
        <v>0</v>
      </c>
      <c r="L135" s="77"/>
      <c r="M135" s="77">
        <v>0</v>
      </c>
      <c r="N135" s="77"/>
      <c r="O135" s="77">
        <v>2005</v>
      </c>
      <c r="P135" s="77"/>
      <c r="Q135" s="77">
        <v>323.61</v>
      </c>
      <c r="R135" s="77"/>
      <c r="S135" s="77">
        <v>25388.639999999999</v>
      </c>
      <c r="T135" s="77"/>
      <c r="U135" s="77">
        <v>0</v>
      </c>
      <c r="V135" s="77"/>
      <c r="W135" s="77">
        <v>0</v>
      </c>
      <c r="X135" s="77"/>
      <c r="Y135" s="77">
        <v>0</v>
      </c>
      <c r="Z135" s="77"/>
      <c r="AA135" s="77">
        <v>0</v>
      </c>
      <c r="AB135" s="77"/>
      <c r="AC135" s="77">
        <v>0</v>
      </c>
      <c r="AD135" s="77"/>
      <c r="AE135" s="77">
        <v>0</v>
      </c>
      <c r="AF135" s="77"/>
      <c r="AG135" s="77">
        <v>0</v>
      </c>
      <c r="AH135" s="77"/>
      <c r="AI135" s="77">
        <f t="shared" si="3"/>
        <v>241647.14999999997</v>
      </c>
      <c r="AJ135" s="24"/>
      <c r="AK135" s="15" t="str">
        <f>'Gen Rev'!A135</f>
        <v>Chippewa Lake</v>
      </c>
      <c r="AL135" s="15" t="str">
        <f t="shared" si="4"/>
        <v>Chippewa Lake</v>
      </c>
      <c r="AM135" s="15" t="b">
        <f t="shared" si="5"/>
        <v>1</v>
      </c>
      <c r="AN135" s="31"/>
      <c r="AO135" s="31"/>
      <c r="AP135" s="31"/>
    </row>
    <row r="136" spans="1:42" ht="12" customHeight="1" x14ac:dyDescent="0.2">
      <c r="A136" s="1" t="s">
        <v>32</v>
      </c>
      <c r="B136" s="1"/>
      <c r="C136" s="1" t="s">
        <v>745</v>
      </c>
      <c r="E136" s="77">
        <v>53086.57</v>
      </c>
      <c r="F136" s="77"/>
      <c r="G136" s="77">
        <v>0</v>
      </c>
      <c r="H136" s="77"/>
      <c r="I136" s="77">
        <v>53017.07</v>
      </c>
      <c r="J136" s="77"/>
      <c r="K136" s="77">
        <v>0</v>
      </c>
      <c r="L136" s="77"/>
      <c r="M136" s="77">
        <v>5238.51</v>
      </c>
      <c r="N136" s="77"/>
      <c r="O136" s="77">
        <v>88</v>
      </c>
      <c r="P136" s="77"/>
      <c r="Q136" s="77">
        <v>1021.11</v>
      </c>
      <c r="R136" s="77"/>
      <c r="S136" s="77">
        <v>2446.48</v>
      </c>
      <c r="T136" s="77"/>
      <c r="U136" s="77">
        <v>0</v>
      </c>
      <c r="V136" s="77"/>
      <c r="W136" s="77">
        <v>0</v>
      </c>
      <c r="X136" s="77"/>
      <c r="Y136" s="77">
        <v>0</v>
      </c>
      <c r="Z136" s="77"/>
      <c r="AA136" s="77">
        <v>0</v>
      </c>
      <c r="AB136" s="77"/>
      <c r="AC136" s="77">
        <v>0</v>
      </c>
      <c r="AD136" s="77"/>
      <c r="AE136" s="77">
        <v>34610</v>
      </c>
      <c r="AF136" s="77"/>
      <c r="AG136" s="77">
        <v>0</v>
      </c>
      <c r="AH136" s="77"/>
      <c r="AI136" s="77">
        <f t="shared" si="3"/>
        <v>149507.74</v>
      </c>
      <c r="AJ136" s="24"/>
      <c r="AK136" s="15" t="str">
        <f>'Gen Rev'!A136</f>
        <v>Christiansburg</v>
      </c>
      <c r="AL136" s="15" t="str">
        <f t="shared" si="4"/>
        <v>Christiansburg</v>
      </c>
      <c r="AM136" s="15" t="b">
        <f t="shared" si="5"/>
        <v>1</v>
      </c>
    </row>
    <row r="137" spans="1:42" ht="12" customHeight="1" x14ac:dyDescent="0.2">
      <c r="A137" s="1" t="s">
        <v>211</v>
      </c>
      <c r="B137" s="1"/>
      <c r="C137" s="1" t="s">
        <v>799</v>
      </c>
      <c r="E137" s="77">
        <v>8164.78</v>
      </c>
      <c r="F137" s="77"/>
      <c r="G137" s="77">
        <v>0</v>
      </c>
      <c r="H137" s="77"/>
      <c r="I137" s="77">
        <v>50059.85</v>
      </c>
      <c r="J137" s="77"/>
      <c r="K137" s="77">
        <v>0</v>
      </c>
      <c r="L137" s="77"/>
      <c r="M137" s="77">
        <v>51</v>
      </c>
      <c r="N137" s="77"/>
      <c r="O137" s="77">
        <v>3053.73</v>
      </c>
      <c r="P137" s="77"/>
      <c r="Q137" s="77">
        <v>599.04999999999995</v>
      </c>
      <c r="R137" s="77"/>
      <c r="S137" s="77">
        <v>6039.95</v>
      </c>
      <c r="T137" s="77"/>
      <c r="U137" s="77">
        <v>0</v>
      </c>
      <c r="V137" s="77"/>
      <c r="W137" s="77">
        <v>0</v>
      </c>
      <c r="X137" s="77"/>
      <c r="Y137" s="77">
        <v>0</v>
      </c>
      <c r="Z137" s="77"/>
      <c r="AA137" s="77">
        <v>0</v>
      </c>
      <c r="AB137" s="77"/>
      <c r="AC137" s="77">
        <v>0</v>
      </c>
      <c r="AD137" s="77"/>
      <c r="AE137" s="77">
        <v>0</v>
      </c>
      <c r="AF137" s="77"/>
      <c r="AG137" s="77">
        <v>0</v>
      </c>
      <c r="AH137" s="77"/>
      <c r="AI137" s="77">
        <f t="shared" si="3"/>
        <v>67968.36</v>
      </c>
      <c r="AJ137" s="24"/>
      <c r="AK137" s="15" t="str">
        <f>'Gen Rev'!A137</f>
        <v>Clarksburg</v>
      </c>
      <c r="AL137" s="15" t="str">
        <f t="shared" si="4"/>
        <v>Clarksburg</v>
      </c>
      <c r="AM137" s="15" t="b">
        <f t="shared" si="5"/>
        <v>1</v>
      </c>
    </row>
    <row r="138" spans="1:42" ht="12" hidden="1" customHeight="1" x14ac:dyDescent="0.2">
      <c r="A138" s="1" t="s">
        <v>300</v>
      </c>
      <c r="B138" s="1"/>
      <c r="C138" s="1" t="s">
        <v>299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>
        <f t="shared" si="3"/>
        <v>0</v>
      </c>
      <c r="AJ138" s="24"/>
      <c r="AK138" s="15" t="str">
        <f>'Gen Rev'!A138</f>
        <v>Clarksville</v>
      </c>
      <c r="AL138" s="15" t="str">
        <f t="shared" si="4"/>
        <v>Clarksville</v>
      </c>
      <c r="AM138" s="15" t="b">
        <f t="shared" si="5"/>
        <v>1</v>
      </c>
    </row>
    <row r="139" spans="1:42" s="31" customFormat="1" ht="12" customHeight="1" x14ac:dyDescent="0.2">
      <c r="A139" s="1" t="s">
        <v>179</v>
      </c>
      <c r="B139" s="1"/>
      <c r="C139" s="1" t="s">
        <v>791</v>
      </c>
      <c r="D139" s="15"/>
      <c r="E139" s="77">
        <v>8070.44</v>
      </c>
      <c r="F139" s="77"/>
      <c r="G139" s="77">
        <v>64782.09</v>
      </c>
      <c r="H139" s="77"/>
      <c r="I139" s="77">
        <v>32458.45</v>
      </c>
      <c r="J139" s="77"/>
      <c r="K139" s="77">
        <v>0</v>
      </c>
      <c r="L139" s="77"/>
      <c r="M139" s="77">
        <v>4729</v>
      </c>
      <c r="N139" s="77"/>
      <c r="O139" s="77">
        <v>1490.03</v>
      </c>
      <c r="P139" s="77"/>
      <c r="Q139" s="77">
        <v>282.27</v>
      </c>
      <c r="R139" s="77"/>
      <c r="S139" s="77">
        <v>0</v>
      </c>
      <c r="T139" s="77"/>
      <c r="U139" s="77">
        <v>0</v>
      </c>
      <c r="V139" s="77"/>
      <c r="W139" s="77">
        <v>0</v>
      </c>
      <c r="X139" s="77"/>
      <c r="Y139" s="77">
        <v>0</v>
      </c>
      <c r="Z139" s="77"/>
      <c r="AA139" s="77">
        <v>65000</v>
      </c>
      <c r="AB139" s="77"/>
      <c r="AC139" s="77">
        <v>0</v>
      </c>
      <c r="AD139" s="77"/>
      <c r="AE139" s="77">
        <v>16676.43</v>
      </c>
      <c r="AF139" s="77"/>
      <c r="AG139" s="77">
        <v>0</v>
      </c>
      <c r="AH139" s="77"/>
      <c r="AI139" s="77">
        <f t="shared" si="3"/>
        <v>193488.71</v>
      </c>
      <c r="AJ139" s="24"/>
      <c r="AK139" s="15" t="str">
        <f>'Gen Rev'!A139</f>
        <v>Clay Center</v>
      </c>
      <c r="AL139" s="15" t="str">
        <f t="shared" si="4"/>
        <v>Clay Center</v>
      </c>
      <c r="AM139" s="15" t="b">
        <f t="shared" si="5"/>
        <v>1</v>
      </c>
      <c r="AN139" s="15"/>
      <c r="AO139" s="15"/>
      <c r="AP139" s="15"/>
    </row>
    <row r="140" spans="1:42" ht="12" customHeight="1" x14ac:dyDescent="0.2">
      <c r="A140" s="1" t="s">
        <v>839</v>
      </c>
      <c r="B140" s="1"/>
      <c r="C140" s="1" t="s">
        <v>763</v>
      </c>
      <c r="E140" s="77">
        <v>492213.38</v>
      </c>
      <c r="F140" s="77"/>
      <c r="G140" s="77">
        <v>0</v>
      </c>
      <c r="H140" s="77"/>
      <c r="I140" s="77">
        <v>683743.38</v>
      </c>
      <c r="J140" s="77"/>
      <c r="K140" s="77">
        <v>0</v>
      </c>
      <c r="L140" s="77"/>
      <c r="M140" s="77">
        <v>11575.56</v>
      </c>
      <c r="N140" s="77"/>
      <c r="O140" s="77">
        <v>245008.6</v>
      </c>
      <c r="P140" s="77"/>
      <c r="Q140" s="77">
        <v>1488.82</v>
      </c>
      <c r="R140" s="77"/>
      <c r="S140" s="77">
        <v>97203.01</v>
      </c>
      <c r="T140" s="77"/>
      <c r="U140" s="77">
        <v>0</v>
      </c>
      <c r="V140" s="77"/>
      <c r="W140" s="77">
        <v>156278.23000000001</v>
      </c>
      <c r="X140" s="77"/>
      <c r="Y140" s="77">
        <v>0</v>
      </c>
      <c r="Z140" s="77"/>
      <c r="AA140" s="77">
        <v>4000</v>
      </c>
      <c r="AB140" s="77"/>
      <c r="AC140" s="77">
        <v>0</v>
      </c>
      <c r="AD140" s="77"/>
      <c r="AE140" s="77">
        <f>189564.02+102372.5</f>
        <v>291936.52</v>
      </c>
      <c r="AF140" s="77"/>
      <c r="AG140" s="77">
        <v>0</v>
      </c>
      <c r="AH140" s="77"/>
      <c r="AI140" s="77">
        <f t="shared" ref="AI140:AI206" si="6">SUM(E140:AG140)</f>
        <v>1983447.5000000002</v>
      </c>
      <c r="AJ140" s="24"/>
      <c r="AK140" s="15" t="str">
        <f>'Gen Rev'!A140</f>
        <v>Cleves</v>
      </c>
      <c r="AL140" s="15" t="str">
        <f t="shared" ref="AL140:AL206" si="7">A140</f>
        <v>Cleves</v>
      </c>
      <c r="AM140" s="15" t="b">
        <f t="shared" ref="AM140:AM206" si="8">AK140=AL140</f>
        <v>1</v>
      </c>
    </row>
    <row r="141" spans="1:42" ht="12" customHeight="1" x14ac:dyDescent="0.2">
      <c r="A141" s="15" t="s">
        <v>372</v>
      </c>
      <c r="C141" s="15" t="s">
        <v>373</v>
      </c>
      <c r="E141" s="77">
        <v>19849</v>
      </c>
      <c r="F141" s="77"/>
      <c r="G141" s="77">
        <v>0</v>
      </c>
      <c r="H141" s="77"/>
      <c r="I141" s="77">
        <v>9661</v>
      </c>
      <c r="J141" s="77"/>
      <c r="K141" s="77">
        <v>0</v>
      </c>
      <c r="L141" s="77"/>
      <c r="M141" s="77">
        <v>3960</v>
      </c>
      <c r="N141" s="77"/>
      <c r="O141" s="77">
        <v>25</v>
      </c>
      <c r="P141" s="77"/>
      <c r="Q141" s="77">
        <v>5</v>
      </c>
      <c r="R141" s="77"/>
      <c r="S141" s="77">
        <v>36067</v>
      </c>
      <c r="T141" s="77"/>
      <c r="U141" s="77">
        <v>0</v>
      </c>
      <c r="V141" s="77"/>
      <c r="W141" s="77">
        <v>0</v>
      </c>
      <c r="X141" s="77"/>
      <c r="Y141" s="77">
        <v>0</v>
      </c>
      <c r="Z141" s="77"/>
      <c r="AA141" s="77">
        <v>0</v>
      </c>
      <c r="AB141" s="77"/>
      <c r="AC141" s="77">
        <v>0</v>
      </c>
      <c r="AD141" s="77"/>
      <c r="AE141" s="77">
        <v>0</v>
      </c>
      <c r="AF141" s="77"/>
      <c r="AG141" s="77">
        <v>0</v>
      </c>
      <c r="AH141" s="77"/>
      <c r="AI141" s="77">
        <f t="shared" si="6"/>
        <v>69567</v>
      </c>
      <c r="AJ141" s="24"/>
      <c r="AK141" s="15" t="str">
        <f>'Gen Rev'!A141</f>
        <v>Clifton</v>
      </c>
      <c r="AL141" s="15" t="str">
        <f t="shared" si="7"/>
        <v>Clifton</v>
      </c>
      <c r="AM141" s="15" t="b">
        <f t="shared" si="8"/>
        <v>1</v>
      </c>
      <c r="AN141" s="31"/>
      <c r="AO141" s="31"/>
      <c r="AP141" s="31"/>
    </row>
    <row r="142" spans="1:42" s="31" customFormat="1" ht="12" customHeight="1" x14ac:dyDescent="0.2">
      <c r="A142" s="1" t="s">
        <v>299</v>
      </c>
      <c r="B142" s="1"/>
      <c r="C142" s="1" t="s">
        <v>549</v>
      </c>
      <c r="D142" s="15"/>
      <c r="E142" s="77">
        <v>334998.81</v>
      </c>
      <c r="F142" s="77"/>
      <c r="G142" s="77">
        <v>108162.68</v>
      </c>
      <c r="H142" s="77"/>
      <c r="I142" s="77">
        <v>184096.46</v>
      </c>
      <c r="J142" s="77"/>
      <c r="K142" s="77">
        <v>0</v>
      </c>
      <c r="L142" s="77"/>
      <c r="M142" s="77">
        <v>32311.1</v>
      </c>
      <c r="N142" s="77"/>
      <c r="O142" s="77">
        <v>13546.53</v>
      </c>
      <c r="P142" s="77"/>
      <c r="Q142" s="77">
        <v>136.07</v>
      </c>
      <c r="R142" s="77"/>
      <c r="S142" s="77">
        <v>8820.25</v>
      </c>
      <c r="T142" s="77"/>
      <c r="U142" s="77">
        <v>0</v>
      </c>
      <c r="V142" s="77"/>
      <c r="W142" s="77">
        <v>0</v>
      </c>
      <c r="X142" s="77"/>
      <c r="Y142" s="77">
        <v>0</v>
      </c>
      <c r="Z142" s="77"/>
      <c r="AA142" s="77">
        <v>0</v>
      </c>
      <c r="AB142" s="77"/>
      <c r="AC142" s="77">
        <v>0</v>
      </c>
      <c r="AD142" s="77"/>
      <c r="AE142" s="77">
        <v>0</v>
      </c>
      <c r="AF142" s="77"/>
      <c r="AG142" s="77">
        <v>0</v>
      </c>
      <c r="AH142" s="77"/>
      <c r="AI142" s="77">
        <f t="shared" si="6"/>
        <v>682071.89999999991</v>
      </c>
      <c r="AJ142" s="24"/>
      <c r="AK142" s="15" t="str">
        <f>'Gen Rev'!A142</f>
        <v>Clinton</v>
      </c>
      <c r="AL142" s="15" t="str">
        <f t="shared" si="7"/>
        <v>Clinton</v>
      </c>
      <c r="AM142" s="15" t="b">
        <f t="shared" si="8"/>
        <v>1</v>
      </c>
      <c r="AN142" s="15"/>
      <c r="AO142" s="15"/>
      <c r="AP142" s="15"/>
    </row>
    <row r="143" spans="1:42" s="31" customFormat="1" ht="12" customHeight="1" x14ac:dyDescent="0.2">
      <c r="A143" s="15" t="s">
        <v>662</v>
      </c>
      <c r="B143" s="15"/>
      <c r="C143" s="15" t="s">
        <v>513</v>
      </c>
      <c r="D143" s="15"/>
      <c r="E143" s="77">
        <v>2220.7800000000002</v>
      </c>
      <c r="F143" s="77"/>
      <c r="G143" s="77">
        <v>0</v>
      </c>
      <c r="H143" s="77"/>
      <c r="I143" s="77">
        <v>37633.089999999997</v>
      </c>
      <c r="J143" s="77"/>
      <c r="K143" s="77">
        <v>0</v>
      </c>
      <c r="L143" s="77"/>
      <c r="M143" s="77">
        <v>0</v>
      </c>
      <c r="N143" s="77"/>
      <c r="O143" s="77">
        <v>0</v>
      </c>
      <c r="P143" s="77"/>
      <c r="Q143" s="77">
        <v>113.95</v>
      </c>
      <c r="R143" s="77"/>
      <c r="S143" s="77">
        <v>322.3</v>
      </c>
      <c r="T143" s="77"/>
      <c r="U143" s="77">
        <v>0</v>
      </c>
      <c r="V143" s="77"/>
      <c r="W143" s="77">
        <v>0</v>
      </c>
      <c r="X143" s="77"/>
      <c r="Y143" s="77">
        <v>0</v>
      </c>
      <c r="Z143" s="77"/>
      <c r="AA143" s="77">
        <v>0</v>
      </c>
      <c r="AB143" s="77"/>
      <c r="AC143" s="77">
        <v>0</v>
      </c>
      <c r="AD143" s="77"/>
      <c r="AE143" s="77">
        <v>0</v>
      </c>
      <c r="AF143" s="77"/>
      <c r="AG143" s="77">
        <v>0</v>
      </c>
      <c r="AH143" s="77"/>
      <c r="AI143" s="77">
        <f t="shared" si="6"/>
        <v>40290.119999999995</v>
      </c>
      <c r="AJ143" s="24"/>
      <c r="AK143" s="15" t="str">
        <f>'Gen Rev'!A143</f>
        <v>Cloverdale</v>
      </c>
      <c r="AL143" s="15" t="str">
        <f t="shared" si="7"/>
        <v>Cloverdale</v>
      </c>
      <c r="AM143" s="15" t="b">
        <f t="shared" si="8"/>
        <v>1</v>
      </c>
    </row>
    <row r="144" spans="1:42" ht="12" customHeight="1" x14ac:dyDescent="0.2">
      <c r="A144" s="1" t="s">
        <v>125</v>
      </c>
      <c r="B144" s="1"/>
      <c r="C144" s="1" t="s">
        <v>773</v>
      </c>
      <c r="E144" s="77">
        <v>48418.94</v>
      </c>
      <c r="F144" s="77"/>
      <c r="G144" s="77">
        <v>256836.12</v>
      </c>
      <c r="H144" s="77"/>
      <c r="I144" s="77">
        <v>176327.16</v>
      </c>
      <c r="J144" s="77"/>
      <c r="K144" s="77">
        <v>149147.54</v>
      </c>
      <c r="L144" s="77"/>
      <c r="M144" s="77">
        <v>1579</v>
      </c>
      <c r="N144" s="77"/>
      <c r="O144" s="77">
        <v>209971.26</v>
      </c>
      <c r="P144" s="77"/>
      <c r="Q144" s="77">
        <v>0</v>
      </c>
      <c r="R144" s="77"/>
      <c r="S144" s="77">
        <v>21237.98</v>
      </c>
      <c r="T144" s="77"/>
      <c r="U144" s="77">
        <v>0</v>
      </c>
      <c r="V144" s="77"/>
      <c r="W144" s="77">
        <v>0</v>
      </c>
      <c r="X144" s="77"/>
      <c r="Y144" s="77">
        <v>7100</v>
      </c>
      <c r="Z144" s="77"/>
      <c r="AA144" s="77">
        <v>0</v>
      </c>
      <c r="AB144" s="77"/>
      <c r="AC144" s="77">
        <v>37729.050000000003</v>
      </c>
      <c r="AD144" s="77"/>
      <c r="AE144" s="77">
        <v>0</v>
      </c>
      <c r="AF144" s="77"/>
      <c r="AG144" s="77">
        <v>0</v>
      </c>
      <c r="AH144" s="77"/>
      <c r="AI144" s="77">
        <f t="shared" si="6"/>
        <v>908347.05</v>
      </c>
      <c r="AJ144" s="24"/>
      <c r="AK144" s="15" t="str">
        <f>'Gen Rev'!A144</f>
        <v>Coal Grove</v>
      </c>
      <c r="AL144" s="15" t="str">
        <f t="shared" si="7"/>
        <v>Coal Grove</v>
      </c>
      <c r="AM144" s="15" t="b">
        <f t="shared" si="8"/>
        <v>1</v>
      </c>
    </row>
    <row r="145" spans="1:42" s="31" customFormat="1" ht="12" customHeight="1" x14ac:dyDescent="0.2">
      <c r="A145" s="1" t="s">
        <v>664</v>
      </c>
      <c r="B145" s="1"/>
      <c r="C145" s="1" t="s">
        <v>663</v>
      </c>
      <c r="D145" s="15"/>
      <c r="E145" s="77">
        <v>14943.24</v>
      </c>
      <c r="F145" s="77"/>
      <c r="G145" s="77">
        <v>0</v>
      </c>
      <c r="H145" s="77"/>
      <c r="I145" s="77">
        <v>91725.18</v>
      </c>
      <c r="J145" s="77"/>
      <c r="K145" s="77">
        <v>0</v>
      </c>
      <c r="L145" s="77"/>
      <c r="M145" s="77">
        <v>20516.38</v>
      </c>
      <c r="N145" s="77"/>
      <c r="O145" s="77">
        <v>28314.02</v>
      </c>
      <c r="P145" s="77"/>
      <c r="Q145" s="77">
        <v>68.459999999999994</v>
      </c>
      <c r="R145" s="77"/>
      <c r="S145" s="77">
        <v>90</v>
      </c>
      <c r="T145" s="77"/>
      <c r="U145" s="77">
        <v>0</v>
      </c>
      <c r="V145" s="77"/>
      <c r="W145" s="77">
        <v>0</v>
      </c>
      <c r="X145" s="77"/>
      <c r="Y145" s="77">
        <v>0</v>
      </c>
      <c r="Z145" s="77"/>
      <c r="AA145" s="77">
        <v>0</v>
      </c>
      <c r="AB145" s="77"/>
      <c r="AC145" s="77">
        <v>0</v>
      </c>
      <c r="AD145" s="77"/>
      <c r="AE145" s="77">
        <v>0</v>
      </c>
      <c r="AF145" s="77"/>
      <c r="AG145" s="77">
        <f>2151.68+1000</f>
        <v>3151.68</v>
      </c>
      <c r="AH145" s="77"/>
      <c r="AI145" s="77">
        <f t="shared" si="6"/>
        <v>158808.95999999999</v>
      </c>
      <c r="AJ145" s="24"/>
      <c r="AK145" s="15" t="str">
        <f>'Gen Rev'!A145</f>
        <v>Coalton</v>
      </c>
      <c r="AL145" s="15" t="str">
        <f t="shared" si="7"/>
        <v>Coalton</v>
      </c>
      <c r="AM145" s="15" t="b">
        <f t="shared" si="8"/>
        <v>1</v>
      </c>
      <c r="AN145" s="15"/>
      <c r="AO145" s="15"/>
      <c r="AP145" s="15"/>
    </row>
    <row r="146" spans="1:42" s="31" customFormat="1" ht="12" customHeight="1" x14ac:dyDescent="0.2">
      <c r="A146" s="15" t="s">
        <v>884</v>
      </c>
      <c r="B146" s="15"/>
      <c r="C146" s="15" t="s">
        <v>466</v>
      </c>
      <c r="D146" s="15"/>
      <c r="E146" s="77">
        <v>181596</v>
      </c>
      <c r="F146" s="77"/>
      <c r="G146" s="77">
        <v>0</v>
      </c>
      <c r="H146" s="77"/>
      <c r="I146" s="77">
        <f>25851+300</f>
        <v>26151</v>
      </c>
      <c r="J146" s="77"/>
      <c r="K146" s="77">
        <v>4810</v>
      </c>
      <c r="L146" s="77"/>
      <c r="M146" s="77">
        <v>68567</v>
      </c>
      <c r="N146" s="77"/>
      <c r="O146" s="77">
        <v>2154</v>
      </c>
      <c r="P146" s="77"/>
      <c r="Q146" s="77">
        <v>7</v>
      </c>
      <c r="R146" s="77"/>
      <c r="S146" s="77">
        <v>59471</v>
      </c>
      <c r="T146" s="77"/>
      <c r="U146" s="77">
        <v>0</v>
      </c>
      <c r="V146" s="77"/>
      <c r="W146" s="77">
        <v>0</v>
      </c>
      <c r="X146" s="77"/>
      <c r="Y146" s="77">
        <v>0</v>
      </c>
      <c r="Z146" s="77"/>
      <c r="AA146" s="77">
        <v>0</v>
      </c>
      <c r="AB146" s="77"/>
      <c r="AC146" s="77">
        <v>0</v>
      </c>
      <c r="AD146" s="77"/>
      <c r="AE146" s="77">
        <v>461558</v>
      </c>
      <c r="AF146" s="77"/>
      <c r="AG146" s="77">
        <v>0</v>
      </c>
      <c r="AH146" s="77"/>
      <c r="AI146" s="77">
        <f t="shared" si="6"/>
        <v>804314</v>
      </c>
      <c r="AJ146" s="24"/>
      <c r="AK146" s="15" t="str">
        <f>'Gen Rev'!A146</f>
        <v>Coldwater</v>
      </c>
      <c r="AL146" s="15" t="str">
        <f t="shared" si="7"/>
        <v>Coldwater</v>
      </c>
      <c r="AM146" s="15" t="b">
        <f t="shared" si="8"/>
        <v>1</v>
      </c>
      <c r="AN146" s="15"/>
      <c r="AO146" s="15"/>
      <c r="AP146" s="15"/>
    </row>
    <row r="147" spans="1:42" ht="12" customHeight="1" x14ac:dyDescent="0.2">
      <c r="A147" s="1" t="s">
        <v>199</v>
      </c>
      <c r="B147" s="1"/>
      <c r="C147" s="1" t="s">
        <v>796</v>
      </c>
      <c r="E147" s="77">
        <v>14459.27</v>
      </c>
      <c r="F147" s="77"/>
      <c r="G147" s="77">
        <v>0</v>
      </c>
      <c r="H147" s="77"/>
      <c r="I147" s="77">
        <v>147591.37</v>
      </c>
      <c r="J147" s="77"/>
      <c r="K147" s="77">
        <v>0</v>
      </c>
      <c r="L147" s="77"/>
      <c r="M147" s="77">
        <v>22000</v>
      </c>
      <c r="N147" s="77"/>
      <c r="O147" s="77">
        <v>2298.5300000000002</v>
      </c>
      <c r="P147" s="77"/>
      <c r="Q147" s="77">
        <v>339.61</v>
      </c>
      <c r="R147" s="77"/>
      <c r="S147" s="77">
        <v>34.11</v>
      </c>
      <c r="T147" s="77"/>
      <c r="U147" s="77">
        <v>0</v>
      </c>
      <c r="V147" s="77"/>
      <c r="W147" s="77">
        <v>0</v>
      </c>
      <c r="X147" s="77"/>
      <c r="Y147" s="77">
        <v>0</v>
      </c>
      <c r="Z147" s="77"/>
      <c r="AA147" s="77">
        <v>0</v>
      </c>
      <c r="AB147" s="77"/>
      <c r="AC147" s="77">
        <v>0</v>
      </c>
      <c r="AD147" s="77"/>
      <c r="AE147" s="77">
        <v>0</v>
      </c>
      <c r="AF147" s="77"/>
      <c r="AG147" s="77">
        <v>0</v>
      </c>
      <c r="AH147" s="77"/>
      <c r="AI147" s="77">
        <f t="shared" si="6"/>
        <v>186722.88999999996</v>
      </c>
      <c r="AJ147" s="24"/>
      <c r="AK147" s="15" t="str">
        <f>'Gen Rev'!A147</f>
        <v>College Corner</v>
      </c>
      <c r="AL147" s="15" t="str">
        <f t="shared" si="7"/>
        <v>College Corner</v>
      </c>
      <c r="AM147" s="15" t="b">
        <f t="shared" si="8"/>
        <v>1</v>
      </c>
    </row>
    <row r="148" spans="1:42" ht="12" customHeight="1" x14ac:dyDescent="0.2">
      <c r="A148" s="15" t="s">
        <v>514</v>
      </c>
      <c r="C148" s="15" t="s">
        <v>513</v>
      </c>
      <c r="E148" s="77">
        <f>77917+58085</f>
        <v>136002</v>
      </c>
      <c r="F148" s="77"/>
      <c r="G148" s="77">
        <f>457129+126967</f>
        <v>584096</v>
      </c>
      <c r="H148" s="77"/>
      <c r="I148" s="77">
        <f>104177+130914</f>
        <v>235091</v>
      </c>
      <c r="J148" s="77"/>
      <c r="K148" s="77">
        <v>0</v>
      </c>
      <c r="L148" s="77"/>
      <c r="M148" s="77">
        <f>62259+82597</f>
        <v>144856</v>
      </c>
      <c r="N148" s="77"/>
      <c r="O148" s="77">
        <f>607+15655</f>
        <v>16262</v>
      </c>
      <c r="P148" s="77"/>
      <c r="Q148" s="77">
        <f>9565+332</f>
        <v>9897</v>
      </c>
      <c r="R148" s="77"/>
      <c r="S148" s="77">
        <f>17295+26492+6315-2</f>
        <v>50100</v>
      </c>
      <c r="T148" s="77"/>
      <c r="U148" s="77">
        <v>0</v>
      </c>
      <c r="V148" s="77"/>
      <c r="W148" s="77">
        <v>0</v>
      </c>
      <c r="X148" s="77"/>
      <c r="Y148" s="77">
        <v>39131</v>
      </c>
      <c r="Z148" s="77"/>
      <c r="AA148" s="77">
        <f>6683+158450</f>
        <v>165133</v>
      </c>
      <c r="AB148" s="77"/>
      <c r="AC148" s="77">
        <v>0</v>
      </c>
      <c r="AD148" s="77"/>
      <c r="AE148" s="77">
        <v>0</v>
      </c>
      <c r="AF148" s="77"/>
      <c r="AG148" s="77">
        <v>0</v>
      </c>
      <c r="AH148" s="77"/>
      <c r="AI148" s="77">
        <f t="shared" si="6"/>
        <v>1380568</v>
      </c>
      <c r="AJ148" s="24"/>
      <c r="AK148" s="15" t="str">
        <f>'Gen Rev'!A148</f>
        <v>Columbus Grove</v>
      </c>
      <c r="AL148" s="15" t="str">
        <f t="shared" si="7"/>
        <v>Columbus Grove</v>
      </c>
      <c r="AM148" s="15" t="b">
        <f t="shared" si="8"/>
        <v>1</v>
      </c>
    </row>
    <row r="149" spans="1:42" ht="12" customHeight="1" x14ac:dyDescent="0.2">
      <c r="A149" s="1" t="s">
        <v>188</v>
      </c>
      <c r="B149" s="1"/>
      <c r="C149" s="1" t="s">
        <v>793</v>
      </c>
      <c r="D149" s="37"/>
      <c r="E149" s="77">
        <v>57045.8</v>
      </c>
      <c r="F149" s="77"/>
      <c r="G149" s="77">
        <v>394179</v>
      </c>
      <c r="H149" s="77"/>
      <c r="I149" s="77">
        <v>94725.67</v>
      </c>
      <c r="J149" s="77"/>
      <c r="K149" s="77">
        <v>0</v>
      </c>
      <c r="L149" s="77"/>
      <c r="M149" s="77">
        <v>17960.95</v>
      </c>
      <c r="N149" s="77"/>
      <c r="O149" s="77">
        <v>24057.5</v>
      </c>
      <c r="P149" s="77"/>
      <c r="Q149" s="77">
        <v>1693.03</v>
      </c>
      <c r="R149" s="77"/>
      <c r="S149" s="77">
        <v>3701.01</v>
      </c>
      <c r="T149" s="77"/>
      <c r="U149" s="77">
        <v>0</v>
      </c>
      <c r="V149" s="77"/>
      <c r="W149" s="77">
        <v>0</v>
      </c>
      <c r="X149" s="77"/>
      <c r="Y149" s="77">
        <v>0</v>
      </c>
      <c r="Z149" s="77"/>
      <c r="AA149" s="77">
        <v>0</v>
      </c>
      <c r="AB149" s="77"/>
      <c r="AC149" s="77">
        <v>0</v>
      </c>
      <c r="AD149" s="77"/>
      <c r="AE149" s="77">
        <v>0</v>
      </c>
      <c r="AF149" s="77"/>
      <c r="AG149" s="77">
        <v>0</v>
      </c>
      <c r="AH149" s="77"/>
      <c r="AI149" s="77">
        <f t="shared" si="6"/>
        <v>593362.96</v>
      </c>
      <c r="AJ149" s="37"/>
      <c r="AK149" s="15" t="str">
        <f>'Gen Rev'!A149</f>
        <v>Commercial Poin</v>
      </c>
      <c r="AL149" s="15" t="str">
        <f t="shared" si="7"/>
        <v>Commercial Poin</v>
      </c>
      <c r="AM149" s="15" t="b">
        <f t="shared" si="8"/>
        <v>1</v>
      </c>
      <c r="AN149" s="37"/>
      <c r="AO149" s="37"/>
      <c r="AP149" s="37"/>
    </row>
    <row r="150" spans="1:42" ht="12" hidden="1" customHeight="1" x14ac:dyDescent="0.2">
      <c r="A150" s="1" t="s">
        <v>307</v>
      </c>
      <c r="B150" s="1"/>
      <c r="C150" s="1" t="s">
        <v>308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>
        <f t="shared" si="6"/>
        <v>0</v>
      </c>
      <c r="AJ150" s="24"/>
      <c r="AK150" s="15" t="str">
        <f>'Gen Rev'!A150</f>
        <v>Conesville</v>
      </c>
      <c r="AL150" s="15" t="str">
        <f t="shared" si="7"/>
        <v>Conesville</v>
      </c>
      <c r="AM150" s="15" t="b">
        <f t="shared" si="8"/>
        <v>1</v>
      </c>
      <c r="AN150" s="31"/>
      <c r="AO150" s="31"/>
      <c r="AP150" s="31"/>
    </row>
    <row r="151" spans="1:42" s="31" customFormat="1" ht="12" customHeight="1" x14ac:dyDescent="0.2">
      <c r="A151" s="1" t="s">
        <v>918</v>
      </c>
      <c r="B151" s="1"/>
      <c r="C151" s="1" t="s">
        <v>588</v>
      </c>
      <c r="D151" s="15"/>
      <c r="E151" s="77">
        <v>22856.77</v>
      </c>
      <c r="F151" s="77"/>
      <c r="G151" s="77">
        <v>0</v>
      </c>
      <c r="H151" s="77"/>
      <c r="I151" s="77">
        <v>15193.26</v>
      </c>
      <c r="J151" s="77"/>
      <c r="K151" s="77">
        <v>0</v>
      </c>
      <c r="L151" s="77"/>
      <c r="M151" s="77">
        <v>0</v>
      </c>
      <c r="N151" s="77"/>
      <c r="O151" s="77">
        <v>0</v>
      </c>
      <c r="P151" s="77"/>
      <c r="Q151" s="77">
        <v>0</v>
      </c>
      <c r="R151" s="77"/>
      <c r="S151" s="77">
        <v>100</v>
      </c>
      <c r="T151" s="77"/>
      <c r="U151" s="77">
        <v>0</v>
      </c>
      <c r="V151" s="77"/>
      <c r="W151" s="77">
        <v>0</v>
      </c>
      <c r="X151" s="77"/>
      <c r="Y151" s="77">
        <v>0</v>
      </c>
      <c r="Z151" s="77"/>
      <c r="AA151" s="77">
        <v>3303.78</v>
      </c>
      <c r="AB151" s="77"/>
      <c r="AC151" s="77">
        <v>0</v>
      </c>
      <c r="AD151" s="77"/>
      <c r="AE151" s="77">
        <v>0</v>
      </c>
      <c r="AF151" s="77"/>
      <c r="AG151" s="77">
        <v>0</v>
      </c>
      <c r="AH151" s="77"/>
      <c r="AI151" s="77">
        <f t="shared" si="6"/>
        <v>41453.81</v>
      </c>
      <c r="AJ151" s="24"/>
      <c r="AK151" s="15" t="str">
        <f>'Gen Rev'!A151</f>
        <v>Congress</v>
      </c>
      <c r="AL151" s="15" t="str">
        <f t="shared" si="7"/>
        <v>Congress</v>
      </c>
      <c r="AM151" s="15" t="b">
        <f t="shared" si="8"/>
        <v>1</v>
      </c>
      <c r="AN151" s="15"/>
      <c r="AO151" s="15"/>
      <c r="AP151" s="15"/>
    </row>
    <row r="152" spans="1:42" s="31" customFormat="1" ht="12" customHeight="1" x14ac:dyDescent="0.2">
      <c r="A152" s="10" t="s">
        <v>202</v>
      </c>
      <c r="B152" s="10"/>
      <c r="C152" s="10" t="s">
        <v>797</v>
      </c>
      <c r="D152" s="15"/>
      <c r="E152" s="77">
        <v>169793.09</v>
      </c>
      <c r="F152" s="77"/>
      <c r="G152" s="77">
        <v>78300.27</v>
      </c>
      <c r="H152" s="77"/>
      <c r="I152" s="77">
        <v>178407.16</v>
      </c>
      <c r="J152" s="77"/>
      <c r="K152" s="77">
        <v>0</v>
      </c>
      <c r="L152" s="77"/>
      <c r="M152" s="77">
        <v>85800</v>
      </c>
      <c r="N152" s="77"/>
      <c r="O152" s="77">
        <v>3272.81</v>
      </c>
      <c r="P152" s="77"/>
      <c r="Q152" s="77">
        <v>132.12</v>
      </c>
      <c r="R152" s="77"/>
      <c r="S152" s="77">
        <v>18526.490000000002</v>
      </c>
      <c r="T152" s="77"/>
      <c r="U152" s="77">
        <v>0</v>
      </c>
      <c r="V152" s="77"/>
      <c r="W152" s="77">
        <v>40344.68</v>
      </c>
      <c r="X152" s="77"/>
      <c r="Y152" s="77">
        <v>0</v>
      </c>
      <c r="Z152" s="77"/>
      <c r="AA152" s="77">
        <v>40860.46</v>
      </c>
      <c r="AB152" s="77"/>
      <c r="AC152" s="77">
        <v>26390</v>
      </c>
      <c r="AD152" s="77"/>
      <c r="AE152" s="77">
        <v>0</v>
      </c>
      <c r="AF152" s="77"/>
      <c r="AG152" s="77">
        <v>0</v>
      </c>
      <c r="AH152" s="77"/>
      <c r="AI152" s="77">
        <f t="shared" si="6"/>
        <v>641827.08000000007</v>
      </c>
      <c r="AJ152" s="24"/>
      <c r="AK152" s="15" t="str">
        <f>'Gen Rev'!A152</f>
        <v>Continental</v>
      </c>
      <c r="AL152" s="15" t="str">
        <f t="shared" si="7"/>
        <v>Continental</v>
      </c>
      <c r="AM152" s="15" t="b">
        <f t="shared" si="8"/>
        <v>1</v>
      </c>
    </row>
    <row r="153" spans="1:42" ht="12" customHeight="1" x14ac:dyDescent="0.2">
      <c r="A153" s="1" t="s">
        <v>239</v>
      </c>
      <c r="B153" s="1"/>
      <c r="C153" s="1" t="s">
        <v>808</v>
      </c>
      <c r="D153" s="37"/>
      <c r="E153" s="77">
        <v>79111.3</v>
      </c>
      <c r="F153" s="77"/>
      <c r="G153" s="77">
        <v>134751.9</v>
      </c>
      <c r="H153" s="77"/>
      <c r="I153" s="77">
        <v>106614.39999999999</v>
      </c>
      <c r="J153" s="77"/>
      <c r="K153" s="77">
        <v>0</v>
      </c>
      <c r="L153" s="77"/>
      <c r="M153" s="77">
        <v>72618.84</v>
      </c>
      <c r="N153" s="77"/>
      <c r="O153" s="77">
        <v>568</v>
      </c>
      <c r="P153" s="77"/>
      <c r="Q153" s="77">
        <v>6370.01</v>
      </c>
      <c r="R153" s="77"/>
      <c r="S153" s="77">
        <v>22413.49</v>
      </c>
      <c r="T153" s="77"/>
      <c r="U153" s="77">
        <v>0</v>
      </c>
      <c r="V153" s="77"/>
      <c r="W153" s="77">
        <v>0</v>
      </c>
      <c r="X153" s="77"/>
      <c r="Y153" s="77">
        <v>0</v>
      </c>
      <c r="Z153" s="77"/>
      <c r="AA153" s="77">
        <v>927.62</v>
      </c>
      <c r="AB153" s="77"/>
      <c r="AC153" s="77">
        <v>0</v>
      </c>
      <c r="AD153" s="77"/>
      <c r="AE153" s="77">
        <v>0</v>
      </c>
      <c r="AF153" s="77"/>
      <c r="AG153" s="77">
        <v>0</v>
      </c>
      <c r="AH153" s="77"/>
      <c r="AI153" s="77">
        <f t="shared" si="6"/>
        <v>423375.55999999994</v>
      </c>
      <c r="AJ153" s="37"/>
      <c r="AK153" s="15" t="str">
        <f>'Gen Rev'!A153</f>
        <v>Convoy</v>
      </c>
      <c r="AL153" s="15" t="str">
        <f t="shared" si="7"/>
        <v>Convoy</v>
      </c>
      <c r="AM153" s="15" t="b">
        <f t="shared" si="8"/>
        <v>1</v>
      </c>
      <c r="AN153" s="37"/>
      <c r="AO153" s="37"/>
      <c r="AP153" s="37"/>
    </row>
    <row r="154" spans="1:42" ht="12" customHeight="1" x14ac:dyDescent="0.2">
      <c r="A154" s="1" t="s">
        <v>919</v>
      </c>
      <c r="B154" s="1"/>
      <c r="C154" s="1" t="s">
        <v>271</v>
      </c>
      <c r="D154" s="24"/>
      <c r="E154" s="77">
        <v>43678.46</v>
      </c>
      <c r="F154" s="77"/>
      <c r="G154" s="77">
        <v>0</v>
      </c>
      <c r="H154" s="77"/>
      <c r="I154" s="77">
        <v>36054.14</v>
      </c>
      <c r="J154" s="77"/>
      <c r="K154" s="77">
        <v>8729.52</v>
      </c>
      <c r="L154" s="77"/>
      <c r="M154" s="77">
        <v>7071.04</v>
      </c>
      <c r="N154" s="77"/>
      <c r="O154" s="77">
        <v>13518.49</v>
      </c>
      <c r="P154" s="77"/>
      <c r="Q154" s="77">
        <v>146.06</v>
      </c>
      <c r="R154" s="77"/>
      <c r="S154" s="77">
        <v>0</v>
      </c>
      <c r="T154" s="77"/>
      <c r="U154" s="77">
        <v>0</v>
      </c>
      <c r="V154" s="77"/>
      <c r="W154" s="77">
        <v>0</v>
      </c>
      <c r="X154" s="77"/>
      <c r="Y154" s="77">
        <v>0</v>
      </c>
      <c r="Z154" s="77"/>
      <c r="AA154" s="77">
        <v>0</v>
      </c>
      <c r="AB154" s="77"/>
      <c r="AC154" s="77">
        <v>0</v>
      </c>
      <c r="AD154" s="77"/>
      <c r="AE154" s="77">
        <v>0</v>
      </c>
      <c r="AF154" s="77"/>
      <c r="AG154" s="77">
        <v>0</v>
      </c>
      <c r="AH154" s="77"/>
      <c r="AI154" s="77">
        <f t="shared" si="6"/>
        <v>109197.71</v>
      </c>
      <c r="AJ154" s="24"/>
      <c r="AK154" s="15" t="str">
        <f>'Gen Rev'!A154</f>
        <v>Coolville</v>
      </c>
      <c r="AL154" s="15" t="str">
        <f t="shared" si="7"/>
        <v>Coolville</v>
      </c>
      <c r="AM154" s="15" t="b">
        <f t="shared" si="8"/>
        <v>1</v>
      </c>
      <c r="AN154" s="29"/>
      <c r="AO154" s="29"/>
      <c r="AP154" s="29"/>
    </row>
    <row r="155" spans="1:42" ht="12" customHeight="1" x14ac:dyDescent="0.2">
      <c r="A155" s="1" t="s">
        <v>186</v>
      </c>
      <c r="B155" s="1"/>
      <c r="C155" s="1" t="s">
        <v>433</v>
      </c>
      <c r="E155" s="77">
        <v>63515.53</v>
      </c>
      <c r="F155" s="77"/>
      <c r="G155" s="77">
        <v>0</v>
      </c>
      <c r="H155" s="77"/>
      <c r="I155" s="77">
        <v>32216.93</v>
      </c>
      <c r="J155" s="77"/>
      <c r="K155" s="77">
        <v>1389.52</v>
      </c>
      <c r="L155" s="77"/>
      <c r="M155" s="77">
        <v>110391.23</v>
      </c>
      <c r="N155" s="77"/>
      <c r="O155" s="77">
        <v>336</v>
      </c>
      <c r="P155" s="77"/>
      <c r="Q155" s="77">
        <v>1040.79</v>
      </c>
      <c r="R155" s="77"/>
      <c r="S155" s="77">
        <v>575.76</v>
      </c>
      <c r="T155" s="77"/>
      <c r="U155" s="77">
        <v>0</v>
      </c>
      <c r="V155" s="77"/>
      <c r="W155" s="77">
        <v>0</v>
      </c>
      <c r="X155" s="77"/>
      <c r="Y155" s="77">
        <v>0</v>
      </c>
      <c r="Z155" s="77"/>
      <c r="AA155" s="77">
        <v>0</v>
      </c>
      <c r="AB155" s="77"/>
      <c r="AC155" s="77">
        <v>0</v>
      </c>
      <c r="AD155" s="77"/>
      <c r="AE155" s="77">
        <v>0</v>
      </c>
      <c r="AF155" s="77"/>
      <c r="AG155" s="77">
        <v>5489.95</v>
      </c>
      <c r="AH155" s="77"/>
      <c r="AI155" s="77">
        <f t="shared" si="6"/>
        <v>214955.71000000002</v>
      </c>
      <c r="AJ155" s="24"/>
      <c r="AK155" s="15" t="str">
        <f>'Gen Rev'!A155</f>
        <v>Corning</v>
      </c>
      <c r="AL155" s="15" t="str">
        <f t="shared" si="7"/>
        <v>Corning</v>
      </c>
      <c r="AM155" s="15" t="b">
        <f t="shared" si="8"/>
        <v>1</v>
      </c>
      <c r="AN155" s="31"/>
      <c r="AO155" s="31"/>
      <c r="AP155" s="31"/>
    </row>
    <row r="156" spans="1:42" ht="12" customHeight="1" x14ac:dyDescent="0.2">
      <c r="A156" s="1" t="s">
        <v>920</v>
      </c>
      <c r="B156" s="1"/>
      <c r="C156" s="1" t="s">
        <v>484</v>
      </c>
      <c r="E156" s="77">
        <v>80503.460000000006</v>
      </c>
      <c r="F156" s="77"/>
      <c r="G156" s="77">
        <v>320188.51</v>
      </c>
      <c r="H156" s="77"/>
      <c r="I156" s="77">
        <v>156235.19</v>
      </c>
      <c r="J156" s="77"/>
      <c r="K156" s="77">
        <v>20355.88</v>
      </c>
      <c r="L156" s="77"/>
      <c r="M156" s="77">
        <v>68209.279999999999</v>
      </c>
      <c r="N156" s="77"/>
      <c r="O156" s="77">
        <v>8875.34</v>
      </c>
      <c r="P156" s="77"/>
      <c r="Q156" s="77">
        <v>527.5</v>
      </c>
      <c r="R156" s="77"/>
      <c r="S156" s="77">
        <v>386155.93</v>
      </c>
      <c r="T156" s="77"/>
      <c r="U156" s="77">
        <v>571474</v>
      </c>
      <c r="V156" s="77"/>
      <c r="W156" s="77">
        <v>0</v>
      </c>
      <c r="X156" s="77"/>
      <c r="Y156" s="77">
        <v>0</v>
      </c>
      <c r="Z156" s="77"/>
      <c r="AA156" s="77">
        <v>69888.47</v>
      </c>
      <c r="AB156" s="77"/>
      <c r="AC156" s="77">
        <v>0</v>
      </c>
      <c r="AD156" s="77"/>
      <c r="AE156" s="77">
        <v>0</v>
      </c>
      <c r="AF156" s="77"/>
      <c r="AG156" s="77">
        <v>0</v>
      </c>
      <c r="AH156" s="77"/>
      <c r="AI156" s="77">
        <f t="shared" si="6"/>
        <v>1682413.56</v>
      </c>
      <c r="AJ156" s="24"/>
      <c r="AK156" s="15" t="str">
        <f>'Gen Rev'!A156</f>
        <v>Corp of South Zanesville</v>
      </c>
      <c r="AL156" s="15" t="str">
        <f t="shared" si="7"/>
        <v>Corp of South Zanesville</v>
      </c>
      <c r="AM156" s="15" t="b">
        <f t="shared" si="8"/>
        <v>1</v>
      </c>
    </row>
    <row r="157" spans="1:42" s="31" customFormat="1" ht="12" customHeight="1" x14ac:dyDescent="0.2">
      <c r="A157" s="24"/>
      <c r="B157" s="24"/>
      <c r="C157" s="24"/>
      <c r="D157" s="24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24"/>
      <c r="AK157" s="15"/>
      <c r="AL157" s="15"/>
      <c r="AM157" s="15"/>
      <c r="AN157" s="29"/>
      <c r="AO157" s="29"/>
      <c r="AP157" s="29"/>
    </row>
    <row r="158" spans="1:42" s="31" customFormat="1" ht="12" customHeight="1" x14ac:dyDescent="0.2">
      <c r="A158" s="24"/>
      <c r="B158" s="24"/>
      <c r="C158" s="24"/>
      <c r="D158" s="24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 t="s">
        <v>850</v>
      </c>
      <c r="AJ158" s="24"/>
      <c r="AK158" s="15"/>
      <c r="AL158" s="15"/>
      <c r="AM158" s="15"/>
      <c r="AN158" s="29"/>
      <c r="AO158" s="29"/>
      <c r="AP158" s="29"/>
    </row>
    <row r="159" spans="1:42" s="31" customFormat="1" ht="12" customHeight="1" x14ac:dyDescent="0.2">
      <c r="A159" s="24"/>
      <c r="B159" s="24"/>
      <c r="C159" s="24"/>
      <c r="D159" s="24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24"/>
      <c r="AK159" s="15"/>
      <c r="AL159" s="15"/>
      <c r="AM159" s="15"/>
      <c r="AN159" s="29"/>
      <c r="AO159" s="29"/>
      <c r="AP159" s="29"/>
    </row>
    <row r="160" spans="1:42" ht="12" customHeight="1" x14ac:dyDescent="0.2">
      <c r="A160" s="15" t="s">
        <v>579</v>
      </c>
      <c r="C160" s="15" t="s">
        <v>581</v>
      </c>
      <c r="E160" s="89">
        <v>15053</v>
      </c>
      <c r="F160" s="89"/>
      <c r="G160" s="89">
        <v>31014</v>
      </c>
      <c r="H160" s="89"/>
      <c r="I160" s="89">
        <v>25952</v>
      </c>
      <c r="J160" s="89"/>
      <c r="K160" s="89">
        <v>0</v>
      </c>
      <c r="L160" s="89"/>
      <c r="M160" s="89">
        <v>0</v>
      </c>
      <c r="N160" s="89"/>
      <c r="O160" s="89">
        <v>4059</v>
      </c>
      <c r="P160" s="89"/>
      <c r="Q160" s="89">
        <v>695</v>
      </c>
      <c r="R160" s="89"/>
      <c r="S160" s="89">
        <v>0</v>
      </c>
      <c r="T160" s="89"/>
      <c r="U160" s="89">
        <v>0</v>
      </c>
      <c r="V160" s="89"/>
      <c r="W160" s="89">
        <v>0</v>
      </c>
      <c r="X160" s="89"/>
      <c r="Y160" s="89">
        <v>0</v>
      </c>
      <c r="Z160" s="89"/>
      <c r="AA160" s="89">
        <v>0</v>
      </c>
      <c r="AB160" s="89"/>
      <c r="AC160" s="89">
        <v>0</v>
      </c>
      <c r="AD160" s="89"/>
      <c r="AE160" s="89">
        <v>0</v>
      </c>
      <c r="AF160" s="89"/>
      <c r="AG160" s="89">
        <v>0</v>
      </c>
      <c r="AH160" s="89"/>
      <c r="AI160" s="89">
        <f t="shared" si="6"/>
        <v>76773</v>
      </c>
      <c r="AJ160" s="24"/>
      <c r="AK160" s="15" t="str">
        <f>'Gen Rev'!A160</f>
        <v>Corwin</v>
      </c>
      <c r="AL160" s="15" t="str">
        <f t="shared" si="7"/>
        <v>Corwin</v>
      </c>
      <c r="AM160" s="15" t="b">
        <f t="shared" si="8"/>
        <v>1</v>
      </c>
      <c r="AN160" s="31"/>
      <c r="AO160" s="31"/>
      <c r="AP160" s="31"/>
    </row>
    <row r="161" spans="1:42" s="31" customFormat="1" ht="12" customHeight="1" x14ac:dyDescent="0.2">
      <c r="A161" s="15" t="s">
        <v>885</v>
      </c>
      <c r="B161" s="15"/>
      <c r="C161" s="15" t="s">
        <v>470</v>
      </c>
      <c r="D161" s="15"/>
      <c r="E161" s="77">
        <v>239577</v>
      </c>
      <c r="F161" s="77"/>
      <c r="G161" s="77">
        <f>663495+164771</f>
        <v>828266</v>
      </c>
      <c r="H161" s="77"/>
      <c r="I161" s="77">
        <f>235571+117986</f>
        <v>353557</v>
      </c>
      <c r="J161" s="77"/>
      <c r="K161" s="77">
        <v>48479</v>
      </c>
      <c r="L161" s="77"/>
      <c r="M161" s="77">
        <v>7746</v>
      </c>
      <c r="N161" s="77"/>
      <c r="O161" s="77">
        <v>22790</v>
      </c>
      <c r="P161" s="77"/>
      <c r="Q161" s="77">
        <v>126</v>
      </c>
      <c r="R161" s="77"/>
      <c r="S161" s="77">
        <f>11274+89028</f>
        <v>100302</v>
      </c>
      <c r="T161" s="77"/>
      <c r="U161" s="77">
        <v>0</v>
      </c>
      <c r="V161" s="77"/>
      <c r="W161" s="77">
        <v>0</v>
      </c>
      <c r="X161" s="77"/>
      <c r="Y161" s="77">
        <v>0</v>
      </c>
      <c r="Z161" s="77"/>
      <c r="AA161" s="77">
        <v>145000</v>
      </c>
      <c r="AB161" s="77"/>
      <c r="AC161" s="77">
        <v>0</v>
      </c>
      <c r="AD161" s="77"/>
      <c r="AE161" s="77">
        <v>0</v>
      </c>
      <c r="AF161" s="77"/>
      <c r="AG161" s="77">
        <v>0</v>
      </c>
      <c r="AH161" s="77"/>
      <c r="AI161" s="77">
        <f t="shared" si="6"/>
        <v>1745843</v>
      </c>
      <c r="AJ161" s="24"/>
      <c r="AK161" s="15" t="str">
        <f>'Gen Rev'!A161</f>
        <v>Covington</v>
      </c>
      <c r="AL161" s="15" t="str">
        <f t="shared" si="7"/>
        <v>Covington</v>
      </c>
      <c r="AM161" s="15" t="b">
        <f t="shared" si="8"/>
        <v>1</v>
      </c>
      <c r="AN161" s="15"/>
      <c r="AO161" s="15"/>
      <c r="AP161" s="15"/>
    </row>
    <row r="162" spans="1:42" ht="12" customHeight="1" x14ac:dyDescent="0.2">
      <c r="A162" s="1" t="s">
        <v>144</v>
      </c>
      <c r="B162" s="1"/>
      <c r="C162" s="1" t="s">
        <v>779</v>
      </c>
      <c r="E162" s="77">
        <v>104400.33</v>
      </c>
      <c r="F162" s="77"/>
      <c r="G162" s="77">
        <v>0</v>
      </c>
      <c r="H162" s="77"/>
      <c r="I162" s="77">
        <v>88520.3</v>
      </c>
      <c r="J162" s="77"/>
      <c r="K162" s="77">
        <v>0</v>
      </c>
      <c r="L162" s="77"/>
      <c r="M162" s="77">
        <v>0</v>
      </c>
      <c r="N162" s="77"/>
      <c r="O162" s="77">
        <v>67715.27</v>
      </c>
      <c r="P162" s="77"/>
      <c r="Q162" s="77">
        <v>99.46</v>
      </c>
      <c r="R162" s="77"/>
      <c r="S162" s="77">
        <v>548.24</v>
      </c>
      <c r="T162" s="77"/>
      <c r="U162" s="77">
        <v>0</v>
      </c>
      <c r="V162" s="77"/>
      <c r="W162" s="77">
        <v>0</v>
      </c>
      <c r="X162" s="77"/>
      <c r="Y162" s="77">
        <v>540</v>
      </c>
      <c r="Z162" s="77"/>
      <c r="AA162" s="77">
        <v>499.07</v>
      </c>
      <c r="AB162" s="77"/>
      <c r="AC162" s="77">
        <v>0</v>
      </c>
      <c r="AD162" s="77"/>
      <c r="AE162" s="77">
        <v>0</v>
      </c>
      <c r="AF162" s="77"/>
      <c r="AG162" s="77">
        <v>100</v>
      </c>
      <c r="AH162" s="77"/>
      <c r="AI162" s="77">
        <f t="shared" si="6"/>
        <v>262422.67</v>
      </c>
      <c r="AJ162" s="24"/>
      <c r="AK162" s="15" t="str">
        <f>'Gen Rev'!A162</f>
        <v>Craig Beach</v>
      </c>
      <c r="AL162" s="15" t="str">
        <f t="shared" si="7"/>
        <v>Craig Beach</v>
      </c>
      <c r="AM162" s="15" t="b">
        <f t="shared" si="8"/>
        <v>1</v>
      </c>
    </row>
    <row r="163" spans="1:42" ht="12" customHeight="1" x14ac:dyDescent="0.2">
      <c r="A163" s="15" t="s">
        <v>952</v>
      </c>
      <c r="C163" s="15" t="s">
        <v>312</v>
      </c>
      <c r="E163" s="77">
        <v>183255</v>
      </c>
      <c r="F163" s="77"/>
      <c r="G163" s="77">
        <v>1148054</v>
      </c>
      <c r="H163" s="77"/>
      <c r="I163" s="77">
        <v>712259</v>
      </c>
      <c r="J163" s="77"/>
      <c r="K163" s="77">
        <v>0</v>
      </c>
      <c r="L163" s="77"/>
      <c r="M163" s="77">
        <f>155761+6215</f>
        <v>161976</v>
      </c>
      <c r="N163" s="77"/>
      <c r="O163" s="77">
        <f>74484+83168</f>
        <v>157652</v>
      </c>
      <c r="P163" s="77"/>
      <c r="Q163" s="77">
        <v>18294</v>
      </c>
      <c r="R163" s="77"/>
      <c r="S163" s="77">
        <v>109096</v>
      </c>
      <c r="T163" s="77"/>
      <c r="U163" s="77">
        <v>0</v>
      </c>
      <c r="V163" s="77"/>
      <c r="W163" s="77">
        <v>0</v>
      </c>
      <c r="X163" s="77"/>
      <c r="Y163" s="77">
        <v>0</v>
      </c>
      <c r="Z163" s="77"/>
      <c r="AA163" s="77">
        <v>107285</v>
      </c>
      <c r="AB163" s="77"/>
      <c r="AC163" s="77">
        <v>0</v>
      </c>
      <c r="AD163" s="77"/>
      <c r="AE163" s="77">
        <v>0</v>
      </c>
      <c r="AF163" s="77"/>
      <c r="AG163" s="77">
        <v>0</v>
      </c>
      <c r="AH163" s="77"/>
      <c r="AI163" s="77">
        <f t="shared" si="6"/>
        <v>2597871</v>
      </c>
      <c r="AJ163" s="24"/>
      <c r="AK163" s="15" t="str">
        <f>'Gen Rev'!A163</f>
        <v>Crestline</v>
      </c>
      <c r="AL163" s="15" t="str">
        <f t="shared" si="7"/>
        <v>Crestline</v>
      </c>
      <c r="AM163" s="15" t="b">
        <f t="shared" si="8"/>
        <v>1</v>
      </c>
    </row>
    <row r="164" spans="1:42" ht="12" customHeight="1" x14ac:dyDescent="0.2">
      <c r="A164" s="1" t="s">
        <v>589</v>
      </c>
      <c r="B164" s="1"/>
      <c r="C164" s="1" t="s">
        <v>590</v>
      </c>
      <c r="E164" s="77">
        <v>180447.79</v>
      </c>
      <c r="F164" s="77"/>
      <c r="G164" s="77">
        <v>258207.11</v>
      </c>
      <c r="H164" s="77"/>
      <c r="I164" s="77">
        <v>175593.8</v>
      </c>
      <c r="J164" s="77"/>
      <c r="K164" s="77">
        <v>0</v>
      </c>
      <c r="L164" s="77"/>
      <c r="M164" s="77">
        <v>29401.8</v>
      </c>
      <c r="N164" s="77"/>
      <c r="O164" s="77">
        <v>30565.1</v>
      </c>
      <c r="P164" s="77"/>
      <c r="Q164" s="77">
        <v>1048.02</v>
      </c>
      <c r="R164" s="77"/>
      <c r="S164" s="77">
        <v>13793.08</v>
      </c>
      <c r="T164" s="77"/>
      <c r="U164" s="77">
        <v>0</v>
      </c>
      <c r="V164" s="77"/>
      <c r="W164" s="77">
        <v>0</v>
      </c>
      <c r="X164" s="77"/>
      <c r="Y164" s="77">
        <v>0</v>
      </c>
      <c r="Z164" s="77"/>
      <c r="AA164" s="77">
        <v>129000</v>
      </c>
      <c r="AB164" s="77"/>
      <c r="AC164" s="77">
        <v>0</v>
      </c>
      <c r="AD164" s="77"/>
      <c r="AE164" s="77">
        <v>0</v>
      </c>
      <c r="AF164" s="77"/>
      <c r="AG164" s="77">
        <v>0</v>
      </c>
      <c r="AH164" s="77"/>
      <c r="AI164" s="77">
        <f t="shared" si="6"/>
        <v>818056.7</v>
      </c>
      <c r="AJ164" s="24"/>
      <c r="AK164" s="15" t="str">
        <f>'Gen Rev'!A164</f>
        <v>Creston</v>
      </c>
      <c r="AL164" s="15" t="str">
        <f t="shared" si="7"/>
        <v>Creston</v>
      </c>
      <c r="AM164" s="15" t="b">
        <f t="shared" si="8"/>
        <v>1</v>
      </c>
      <c r="AN164" s="31"/>
      <c r="AO164" s="31"/>
      <c r="AP164" s="31"/>
    </row>
    <row r="165" spans="1:42" s="31" customFormat="1" ht="12" customHeight="1" x14ac:dyDescent="0.2">
      <c r="A165" s="15" t="s">
        <v>274</v>
      </c>
      <c r="B165" s="15"/>
      <c r="C165" s="15" t="s">
        <v>275</v>
      </c>
      <c r="D165" s="15"/>
      <c r="E165" s="77">
        <f>83921+34883</f>
        <v>118804</v>
      </c>
      <c r="F165" s="77"/>
      <c r="G165" s="77">
        <v>303340</v>
      </c>
      <c r="H165" s="77"/>
      <c r="I165" s="77">
        <f>387217+83450+105958</f>
        <v>576625</v>
      </c>
      <c r="J165" s="77"/>
      <c r="K165" s="77">
        <v>111</v>
      </c>
      <c r="L165" s="77"/>
      <c r="M165" s="77">
        <v>54242</v>
      </c>
      <c r="N165" s="77"/>
      <c r="O165" s="77">
        <f>38486+1527</f>
        <v>40013</v>
      </c>
      <c r="P165" s="77"/>
      <c r="Q165" s="77">
        <f>372+92</f>
        <v>464</v>
      </c>
      <c r="R165" s="77"/>
      <c r="S165" s="77">
        <v>32298</v>
      </c>
      <c r="T165" s="77"/>
      <c r="U165" s="77">
        <v>0</v>
      </c>
      <c r="V165" s="77"/>
      <c r="W165" s="77">
        <v>0</v>
      </c>
      <c r="X165" s="77"/>
      <c r="Y165" s="77">
        <v>0</v>
      </c>
      <c r="Z165" s="77"/>
      <c r="AA165" s="77">
        <f>8657+8704+14377</f>
        <v>31738</v>
      </c>
      <c r="AB165" s="77"/>
      <c r="AC165" s="77">
        <v>0</v>
      </c>
      <c r="AD165" s="77"/>
      <c r="AE165" s="77">
        <v>0</v>
      </c>
      <c r="AF165" s="77"/>
      <c r="AG165" s="77">
        <v>0</v>
      </c>
      <c r="AH165" s="77"/>
      <c r="AI165" s="77">
        <f t="shared" si="6"/>
        <v>1157635</v>
      </c>
      <c r="AJ165" s="24"/>
      <c r="AK165" s="15" t="str">
        <f>'Gen Rev'!A165</f>
        <v>Cridersville</v>
      </c>
      <c r="AL165" s="15" t="str">
        <f t="shared" si="7"/>
        <v>Cridersville</v>
      </c>
      <c r="AM165" s="15" t="b">
        <f t="shared" si="8"/>
        <v>1</v>
      </c>
      <c r="AN165" s="15"/>
      <c r="AO165" s="15"/>
      <c r="AP165" s="15"/>
    </row>
    <row r="166" spans="1:42" ht="12" customHeight="1" x14ac:dyDescent="0.2">
      <c r="A166" s="24" t="s">
        <v>499</v>
      </c>
      <c r="B166" s="24"/>
      <c r="C166" s="24" t="s">
        <v>500</v>
      </c>
      <c r="D166" s="24"/>
      <c r="E166" s="77">
        <v>91713</v>
      </c>
      <c r="F166" s="77"/>
      <c r="G166" s="77">
        <v>553478</v>
      </c>
      <c r="H166" s="77"/>
      <c r="I166" s="77">
        <f>155067+36724</f>
        <v>191791</v>
      </c>
      <c r="J166" s="77"/>
      <c r="K166" s="77">
        <v>0</v>
      </c>
      <c r="L166" s="77"/>
      <c r="M166" s="77">
        <v>467032</v>
      </c>
      <c r="N166" s="77"/>
      <c r="O166" s="77">
        <v>41087</v>
      </c>
      <c r="P166" s="77"/>
      <c r="Q166" s="77">
        <v>5360</v>
      </c>
      <c r="R166" s="77"/>
      <c r="S166" s="77">
        <v>629</v>
      </c>
      <c r="T166" s="77"/>
      <c r="U166" s="77">
        <v>0</v>
      </c>
      <c r="V166" s="77"/>
      <c r="W166" s="77">
        <v>0</v>
      </c>
      <c r="X166" s="77"/>
      <c r="Y166" s="77">
        <v>0</v>
      </c>
      <c r="Z166" s="77"/>
      <c r="AA166" s="77">
        <v>0</v>
      </c>
      <c r="AB166" s="77"/>
      <c r="AC166" s="77">
        <v>0</v>
      </c>
      <c r="AD166" s="77"/>
      <c r="AE166" s="77">
        <v>872255</v>
      </c>
      <c r="AF166" s="77"/>
      <c r="AG166" s="77">
        <v>0</v>
      </c>
      <c r="AH166" s="77"/>
      <c r="AI166" s="77">
        <f t="shared" si="6"/>
        <v>2223345</v>
      </c>
      <c r="AJ166" s="24"/>
      <c r="AK166" s="15" t="str">
        <f>'Gen Rev'!A166</f>
        <v>Crooksville</v>
      </c>
      <c r="AL166" s="15" t="str">
        <f t="shared" si="7"/>
        <v>Crooksville</v>
      </c>
      <c r="AM166" s="15" t="b">
        <f t="shared" si="8"/>
        <v>1</v>
      </c>
      <c r="AN166" s="29"/>
      <c r="AO166" s="29"/>
      <c r="AP166" s="29"/>
    </row>
    <row r="167" spans="1:42" s="29" customFormat="1" ht="12" customHeight="1" x14ac:dyDescent="0.2">
      <c r="A167" s="1" t="s">
        <v>80</v>
      </c>
      <c r="B167" s="1"/>
      <c r="C167" s="1" t="s">
        <v>760</v>
      </c>
      <c r="D167" s="15"/>
      <c r="E167" s="77">
        <v>4912.8599999999997</v>
      </c>
      <c r="F167" s="77"/>
      <c r="G167" s="77">
        <v>0</v>
      </c>
      <c r="H167" s="77"/>
      <c r="I167" s="77">
        <v>73011.399999999994</v>
      </c>
      <c r="J167" s="77"/>
      <c r="K167" s="77">
        <v>145337.81</v>
      </c>
      <c r="L167" s="77"/>
      <c r="M167" s="77">
        <v>2694.23</v>
      </c>
      <c r="N167" s="77"/>
      <c r="O167" s="77">
        <v>2094.86</v>
      </c>
      <c r="P167" s="77"/>
      <c r="Q167" s="77">
        <v>390.5</v>
      </c>
      <c r="R167" s="77"/>
      <c r="S167" s="77">
        <v>31020.22</v>
      </c>
      <c r="T167" s="77"/>
      <c r="U167" s="77">
        <v>0</v>
      </c>
      <c r="V167" s="77"/>
      <c r="W167" s="77">
        <v>0</v>
      </c>
      <c r="X167" s="77"/>
      <c r="Y167" s="77">
        <v>0</v>
      </c>
      <c r="Z167" s="77"/>
      <c r="AA167" s="77">
        <v>400</v>
      </c>
      <c r="AB167" s="77"/>
      <c r="AC167" s="77">
        <v>0</v>
      </c>
      <c r="AD167" s="77"/>
      <c r="AE167" s="77">
        <v>0</v>
      </c>
      <c r="AF167" s="77"/>
      <c r="AG167" s="77">
        <v>0</v>
      </c>
      <c r="AH167" s="77"/>
      <c r="AI167" s="77">
        <f t="shared" si="6"/>
        <v>259861.88</v>
      </c>
      <c r="AJ167" s="24"/>
      <c r="AK167" s="15" t="str">
        <f>'Gen Rev'!A167</f>
        <v>Crown City</v>
      </c>
      <c r="AL167" s="15" t="str">
        <f t="shared" si="7"/>
        <v>Crown City</v>
      </c>
      <c r="AM167" s="15" t="b">
        <f t="shared" si="8"/>
        <v>1</v>
      </c>
      <c r="AN167" s="15"/>
      <c r="AO167" s="15"/>
      <c r="AP167" s="15"/>
    </row>
    <row r="168" spans="1:42" ht="12" customHeight="1" x14ac:dyDescent="0.2">
      <c r="A168" s="1" t="s">
        <v>87</v>
      </c>
      <c r="B168" s="1"/>
      <c r="C168" s="1" t="s">
        <v>762</v>
      </c>
      <c r="E168" s="77">
        <v>25247.25</v>
      </c>
      <c r="F168" s="77"/>
      <c r="G168" s="77">
        <v>0</v>
      </c>
      <c r="H168" s="77"/>
      <c r="I168" s="77">
        <v>101623.76</v>
      </c>
      <c r="J168" s="77"/>
      <c r="K168" s="77">
        <v>0</v>
      </c>
      <c r="L168" s="77"/>
      <c r="M168" s="77">
        <v>0</v>
      </c>
      <c r="N168" s="77"/>
      <c r="O168" s="77">
        <v>0</v>
      </c>
      <c r="P168" s="77"/>
      <c r="Q168" s="77">
        <v>507.31</v>
      </c>
      <c r="R168" s="77"/>
      <c r="S168" s="77">
        <v>11168.54</v>
      </c>
      <c r="T168" s="77"/>
      <c r="U168" s="77">
        <v>0</v>
      </c>
      <c r="V168" s="77"/>
      <c r="W168" s="77">
        <v>0</v>
      </c>
      <c r="X168" s="77"/>
      <c r="Y168" s="77">
        <v>0</v>
      </c>
      <c r="Z168" s="77"/>
      <c r="AA168" s="77">
        <v>0</v>
      </c>
      <c r="AB168" s="77"/>
      <c r="AC168" s="77">
        <v>10725</v>
      </c>
      <c r="AD168" s="77"/>
      <c r="AE168" s="77">
        <v>0</v>
      </c>
      <c r="AF168" s="77"/>
      <c r="AG168" s="77">
        <v>0</v>
      </c>
      <c r="AH168" s="77"/>
      <c r="AI168" s="77">
        <f t="shared" si="6"/>
        <v>149271.85999999999</v>
      </c>
      <c r="AJ168" s="24"/>
      <c r="AK168" s="15" t="str">
        <f>'Gen Rev'!A168</f>
        <v>Cumberland</v>
      </c>
      <c r="AL168" s="15" t="str">
        <f t="shared" si="7"/>
        <v>Cumberland</v>
      </c>
      <c r="AM168" s="15" t="b">
        <f t="shared" si="8"/>
        <v>1</v>
      </c>
      <c r="AN168" s="31"/>
      <c r="AO168" s="31"/>
      <c r="AP168" s="31"/>
    </row>
    <row r="169" spans="1:42" s="31" customFormat="1" ht="12" customHeight="1" x14ac:dyDescent="0.2">
      <c r="A169" s="1" t="s">
        <v>254</v>
      </c>
      <c r="B169" s="1"/>
      <c r="C169" s="1" t="s">
        <v>813</v>
      </c>
      <c r="D169" s="15"/>
      <c r="E169" s="77">
        <v>12903.1</v>
      </c>
      <c r="F169" s="77"/>
      <c r="G169" s="77">
        <v>0</v>
      </c>
      <c r="H169" s="77"/>
      <c r="I169" s="77">
        <v>11833.79</v>
      </c>
      <c r="J169" s="77"/>
      <c r="K169" s="77">
        <v>0</v>
      </c>
      <c r="L169" s="77"/>
      <c r="M169" s="77">
        <v>0</v>
      </c>
      <c r="N169" s="77"/>
      <c r="O169" s="77">
        <v>0</v>
      </c>
      <c r="P169" s="77"/>
      <c r="Q169" s="77">
        <v>1396.28</v>
      </c>
      <c r="R169" s="77"/>
      <c r="S169" s="77">
        <v>256.05</v>
      </c>
      <c r="T169" s="77"/>
      <c r="U169" s="77">
        <v>0</v>
      </c>
      <c r="V169" s="77"/>
      <c r="W169" s="77">
        <v>0</v>
      </c>
      <c r="X169" s="77"/>
      <c r="Y169" s="77">
        <v>0</v>
      </c>
      <c r="Z169" s="77"/>
      <c r="AA169" s="77">
        <v>0</v>
      </c>
      <c r="AB169" s="77"/>
      <c r="AC169" s="77">
        <v>0</v>
      </c>
      <c r="AD169" s="77"/>
      <c r="AE169" s="77">
        <v>0</v>
      </c>
      <c r="AF169" s="77"/>
      <c r="AG169" s="77">
        <v>0</v>
      </c>
      <c r="AH169" s="77"/>
      <c r="AI169" s="77">
        <f t="shared" si="6"/>
        <v>26389.219999999998</v>
      </c>
      <c r="AJ169" s="24"/>
      <c r="AK169" s="15" t="str">
        <f>'Gen Rev'!A169</f>
        <v>Custar</v>
      </c>
      <c r="AL169" s="15" t="str">
        <f t="shared" si="7"/>
        <v>Custar</v>
      </c>
      <c r="AM169" s="15" t="b">
        <f t="shared" si="8"/>
        <v>1</v>
      </c>
      <c r="AN169" s="15"/>
      <c r="AO169" s="15"/>
      <c r="AP169" s="15"/>
    </row>
    <row r="170" spans="1:42" ht="12" customHeight="1" x14ac:dyDescent="0.2">
      <c r="A170" s="15" t="s">
        <v>909</v>
      </c>
      <c r="C170" s="15" t="s">
        <v>316</v>
      </c>
      <c r="E170" s="77">
        <v>433476</v>
      </c>
      <c r="F170" s="77"/>
      <c r="G170" s="77">
        <v>7932896</v>
      </c>
      <c r="H170" s="77"/>
      <c r="I170" s="77">
        <v>1464999</v>
      </c>
      <c r="J170" s="77"/>
      <c r="K170" s="77">
        <v>0</v>
      </c>
      <c r="L170" s="77"/>
      <c r="M170" s="77">
        <v>451212</v>
      </c>
      <c r="N170" s="77"/>
      <c r="O170" s="77">
        <v>288145</v>
      </c>
      <c r="P170" s="77"/>
      <c r="Q170" s="77">
        <v>7859</v>
      </c>
      <c r="R170" s="77"/>
      <c r="S170" s="77">
        <v>88648</v>
      </c>
      <c r="T170" s="77"/>
      <c r="U170" s="77">
        <v>0</v>
      </c>
      <c r="V170" s="77"/>
      <c r="W170" s="77">
        <v>1500000</v>
      </c>
      <c r="X170" s="77"/>
      <c r="Y170" s="77">
        <v>12107</v>
      </c>
      <c r="Z170" s="77"/>
      <c r="AA170" s="77">
        <v>953000</v>
      </c>
      <c r="AB170" s="77"/>
      <c r="AC170" s="77">
        <v>0</v>
      </c>
      <c r="AD170" s="77"/>
      <c r="AE170" s="77">
        <v>9504</v>
      </c>
      <c r="AF170" s="77"/>
      <c r="AG170" s="77">
        <v>0</v>
      </c>
      <c r="AH170" s="77"/>
      <c r="AI170" s="77">
        <f t="shared" si="6"/>
        <v>13141846</v>
      </c>
      <c r="AJ170" s="24"/>
      <c r="AK170" s="15" t="str">
        <f>'Gen Rev'!A170</f>
        <v>Cuyahoga Heights</v>
      </c>
      <c r="AL170" s="15" t="str">
        <f t="shared" si="7"/>
        <v>Cuyahoga Heights</v>
      </c>
      <c r="AM170" s="15" t="b">
        <f t="shared" si="8"/>
        <v>1</v>
      </c>
    </row>
    <row r="171" spans="1:42" ht="12" customHeight="1" x14ac:dyDescent="0.2">
      <c r="A171" s="1" t="s">
        <v>830</v>
      </c>
      <c r="B171" s="1"/>
      <c r="C171" s="1" t="s">
        <v>813</v>
      </c>
      <c r="E171" s="77">
        <v>10023.86</v>
      </c>
      <c r="F171" s="77"/>
      <c r="G171" s="77">
        <v>84786.38</v>
      </c>
      <c r="H171" s="77"/>
      <c r="I171" s="77">
        <v>53943.91</v>
      </c>
      <c r="J171" s="77"/>
      <c r="K171" s="77">
        <v>0</v>
      </c>
      <c r="L171" s="77"/>
      <c r="M171" s="77">
        <v>11524.19</v>
      </c>
      <c r="N171" s="77"/>
      <c r="O171" s="77">
        <v>1440.5</v>
      </c>
      <c r="P171" s="77"/>
      <c r="Q171" s="77">
        <v>644.22</v>
      </c>
      <c r="R171" s="77"/>
      <c r="S171" s="77">
        <v>2450.4499999999998</v>
      </c>
      <c r="T171" s="77"/>
      <c r="U171" s="77">
        <v>0</v>
      </c>
      <c r="V171" s="77"/>
      <c r="W171" s="77">
        <v>0</v>
      </c>
      <c r="X171" s="77"/>
      <c r="Y171" s="77">
        <v>0</v>
      </c>
      <c r="Z171" s="77"/>
      <c r="AA171" s="77">
        <v>192.13</v>
      </c>
      <c r="AB171" s="77"/>
      <c r="AC171" s="77">
        <v>0</v>
      </c>
      <c r="AD171" s="77"/>
      <c r="AE171" s="77">
        <v>6931.78</v>
      </c>
      <c r="AF171" s="77"/>
      <c r="AG171" s="77">
        <v>0</v>
      </c>
      <c r="AH171" s="77"/>
      <c r="AI171" s="77">
        <f t="shared" si="6"/>
        <v>171937.42000000004</v>
      </c>
      <c r="AJ171" s="24"/>
      <c r="AK171" s="15" t="str">
        <f>'Gen Rev'!A171</f>
        <v>Cygnet</v>
      </c>
      <c r="AL171" s="15" t="str">
        <f t="shared" si="7"/>
        <v>Cygnet</v>
      </c>
      <c r="AM171" s="15" t="b">
        <f t="shared" si="8"/>
        <v>1</v>
      </c>
      <c r="AN171" s="31"/>
      <c r="AO171" s="31"/>
      <c r="AP171" s="31"/>
    </row>
    <row r="172" spans="1:42" ht="12" customHeight="1" x14ac:dyDescent="0.2">
      <c r="A172" s="15" t="s">
        <v>591</v>
      </c>
      <c r="C172" s="15" t="s">
        <v>588</v>
      </c>
      <c r="E172" s="77">
        <v>163735</v>
      </c>
      <c r="F172" s="77"/>
      <c r="G172" s="77">
        <v>434046</v>
      </c>
      <c r="H172" s="77"/>
      <c r="I172" s="77">
        <v>577931</v>
      </c>
      <c r="J172" s="77"/>
      <c r="K172" s="77">
        <v>0</v>
      </c>
      <c r="L172" s="77"/>
      <c r="M172" s="77">
        <v>14014</v>
      </c>
      <c r="N172" s="77"/>
      <c r="O172" s="77">
        <v>25975</v>
      </c>
      <c r="P172" s="77"/>
      <c r="Q172" s="77">
        <v>415</v>
      </c>
      <c r="R172" s="77"/>
      <c r="S172" s="77">
        <v>10155</v>
      </c>
      <c r="T172" s="77"/>
      <c r="U172" s="77">
        <v>0</v>
      </c>
      <c r="V172" s="77"/>
      <c r="W172" s="77">
        <v>7717</v>
      </c>
      <c r="X172" s="77"/>
      <c r="Y172" s="77">
        <v>0</v>
      </c>
      <c r="Z172" s="77"/>
      <c r="AA172" s="77">
        <v>178569</v>
      </c>
      <c r="AB172" s="77"/>
      <c r="AC172" s="77">
        <v>0</v>
      </c>
      <c r="AD172" s="77"/>
      <c r="AE172" s="77">
        <v>54553</v>
      </c>
      <c r="AF172" s="77"/>
      <c r="AG172" s="77">
        <v>0</v>
      </c>
      <c r="AH172" s="77"/>
      <c r="AI172" s="77">
        <f t="shared" si="6"/>
        <v>1467110</v>
      </c>
      <c r="AJ172" s="24"/>
      <c r="AK172" s="15" t="str">
        <f>'Gen Rev'!A172</f>
        <v>Dalton</v>
      </c>
      <c r="AL172" s="15" t="str">
        <f t="shared" si="7"/>
        <v>Dalton</v>
      </c>
      <c r="AM172" s="15" t="b">
        <f t="shared" si="8"/>
        <v>1</v>
      </c>
      <c r="AN172" s="31"/>
      <c r="AO172" s="31"/>
      <c r="AP172" s="31"/>
    </row>
    <row r="173" spans="1:42" ht="12" customHeight="1" x14ac:dyDescent="0.2">
      <c r="A173" s="1" t="s">
        <v>426</v>
      </c>
      <c r="B173" s="1"/>
      <c r="C173" s="1" t="s">
        <v>427</v>
      </c>
      <c r="E173" s="77">
        <v>112559.64</v>
      </c>
      <c r="F173" s="77"/>
      <c r="G173" s="77">
        <v>173608.04</v>
      </c>
      <c r="H173" s="77"/>
      <c r="I173" s="77">
        <v>241217.56</v>
      </c>
      <c r="J173" s="77"/>
      <c r="K173" s="77">
        <v>0</v>
      </c>
      <c r="L173" s="77"/>
      <c r="M173" s="77">
        <v>99.17</v>
      </c>
      <c r="N173" s="77"/>
      <c r="O173" s="77">
        <v>11571.23</v>
      </c>
      <c r="P173" s="77"/>
      <c r="Q173" s="77">
        <v>841.52</v>
      </c>
      <c r="R173" s="77"/>
      <c r="S173" s="77">
        <v>10159.74</v>
      </c>
      <c r="T173" s="77"/>
      <c r="U173" s="77">
        <v>0</v>
      </c>
      <c r="V173" s="77"/>
      <c r="W173" s="77">
        <v>0</v>
      </c>
      <c r="X173" s="77"/>
      <c r="Y173" s="77">
        <v>0</v>
      </c>
      <c r="Z173" s="77"/>
      <c r="AA173" s="77">
        <v>269720.95</v>
      </c>
      <c r="AB173" s="77"/>
      <c r="AC173" s="77">
        <v>0</v>
      </c>
      <c r="AD173" s="77"/>
      <c r="AE173" s="77">
        <v>25.13</v>
      </c>
      <c r="AF173" s="77"/>
      <c r="AG173" s="77">
        <v>0</v>
      </c>
      <c r="AH173" s="77"/>
      <c r="AI173" s="77">
        <f t="shared" si="6"/>
        <v>819802.9800000001</v>
      </c>
      <c r="AJ173" s="24"/>
      <c r="AK173" s="15" t="str">
        <f>'Gen Rev'!A173</f>
        <v>Danville</v>
      </c>
      <c r="AL173" s="15" t="str">
        <f t="shared" si="7"/>
        <v>Danville</v>
      </c>
      <c r="AM173" s="15" t="b">
        <f t="shared" si="8"/>
        <v>1</v>
      </c>
      <c r="AN173" s="31"/>
      <c r="AO173" s="31"/>
      <c r="AP173" s="31"/>
    </row>
    <row r="174" spans="1:42" s="31" customFormat="1" ht="12" customHeight="1" x14ac:dyDescent="0.2">
      <c r="A174" s="15" t="s">
        <v>959</v>
      </c>
      <c r="B174" s="15"/>
      <c r="C174" s="15" t="s">
        <v>504</v>
      </c>
      <c r="D174" s="15"/>
      <c r="E174" s="77">
        <v>0</v>
      </c>
      <c r="F174" s="77"/>
      <c r="G174" s="77">
        <v>0</v>
      </c>
      <c r="H174" s="77"/>
      <c r="I174" s="77">
        <v>28859</v>
      </c>
      <c r="J174" s="77"/>
      <c r="K174" s="77">
        <v>0</v>
      </c>
      <c r="L174" s="77"/>
      <c r="M174" s="77">
        <v>0</v>
      </c>
      <c r="N174" s="77"/>
      <c r="O174" s="77">
        <v>0</v>
      </c>
      <c r="P174" s="77"/>
      <c r="Q174" s="77">
        <v>0</v>
      </c>
      <c r="R174" s="77"/>
      <c r="S174" s="77">
        <v>217</v>
      </c>
      <c r="T174" s="77"/>
      <c r="U174" s="77">
        <v>0</v>
      </c>
      <c r="V174" s="77"/>
      <c r="W174" s="77">
        <v>0</v>
      </c>
      <c r="X174" s="77"/>
      <c r="Y174" s="77">
        <v>0</v>
      </c>
      <c r="Z174" s="77"/>
      <c r="AA174" s="77">
        <v>0</v>
      </c>
      <c r="AB174" s="77"/>
      <c r="AC174" s="77">
        <v>0</v>
      </c>
      <c r="AD174" s="77"/>
      <c r="AE174" s="77">
        <v>0</v>
      </c>
      <c r="AF174" s="77"/>
      <c r="AG174" s="77">
        <v>0</v>
      </c>
      <c r="AH174" s="77"/>
      <c r="AI174" s="77">
        <f t="shared" si="6"/>
        <v>29076</v>
      </c>
      <c r="AJ174" s="24"/>
      <c r="AK174" s="15" t="str">
        <f>'Gen Rev'!A174</f>
        <v>Darbyville</v>
      </c>
      <c r="AL174" s="15" t="str">
        <f t="shared" si="7"/>
        <v>Darbyville</v>
      </c>
      <c r="AM174" s="15" t="b">
        <f t="shared" si="8"/>
        <v>1</v>
      </c>
    </row>
    <row r="175" spans="1:42" s="31" customFormat="1" ht="12" customHeight="1" x14ac:dyDescent="0.2">
      <c r="A175" s="15" t="s">
        <v>404</v>
      </c>
      <c r="B175" s="15"/>
      <c r="C175" s="15" t="s">
        <v>403</v>
      </c>
      <c r="D175" s="15"/>
      <c r="E175" s="77">
        <v>0</v>
      </c>
      <c r="F175" s="77"/>
      <c r="G175" s="77">
        <v>0</v>
      </c>
      <c r="H175" s="77"/>
      <c r="I175" s="77">
        <v>20336</v>
      </c>
      <c r="J175" s="77"/>
      <c r="K175" s="77">
        <v>0</v>
      </c>
      <c r="L175" s="77"/>
      <c r="M175" s="77">
        <v>0</v>
      </c>
      <c r="N175" s="77"/>
      <c r="O175" s="77">
        <v>0</v>
      </c>
      <c r="P175" s="77"/>
      <c r="Q175" s="77">
        <v>25</v>
      </c>
      <c r="R175" s="77"/>
      <c r="S175" s="77">
        <v>269</v>
      </c>
      <c r="T175" s="77"/>
      <c r="U175" s="77">
        <v>0</v>
      </c>
      <c r="V175" s="77"/>
      <c r="W175" s="77">
        <v>0</v>
      </c>
      <c r="X175" s="77"/>
      <c r="Y175" s="77">
        <v>0</v>
      </c>
      <c r="Z175" s="77"/>
      <c r="AA175" s="77">
        <v>5</v>
      </c>
      <c r="AB175" s="77"/>
      <c r="AC175" s="77">
        <v>0</v>
      </c>
      <c r="AD175" s="77"/>
      <c r="AE175" s="77">
        <v>0</v>
      </c>
      <c r="AF175" s="77"/>
      <c r="AG175" s="77">
        <v>0</v>
      </c>
      <c r="AH175" s="77"/>
      <c r="AI175" s="77">
        <f t="shared" si="6"/>
        <v>20635</v>
      </c>
      <c r="AJ175" s="24"/>
      <c r="AK175" s="15" t="str">
        <f>'Gen Rev'!A175</f>
        <v>Deersville</v>
      </c>
      <c r="AL175" s="15" t="str">
        <f t="shared" si="7"/>
        <v>Deersville</v>
      </c>
      <c r="AM175" s="15" t="b">
        <f t="shared" si="8"/>
        <v>1</v>
      </c>
    </row>
    <row r="176" spans="1:42" s="31" customFormat="1" ht="12" customHeight="1" x14ac:dyDescent="0.2">
      <c r="A176" s="1" t="s">
        <v>445</v>
      </c>
      <c r="B176" s="1"/>
      <c r="C176" s="1" t="s">
        <v>446</v>
      </c>
      <c r="D176" s="15"/>
      <c r="E176" s="77">
        <v>78370.880000000005</v>
      </c>
      <c r="F176" s="77"/>
      <c r="G176" s="77">
        <v>153685.32999999999</v>
      </c>
      <c r="H176" s="77"/>
      <c r="I176" s="77">
        <v>108953.37</v>
      </c>
      <c r="J176" s="77"/>
      <c r="K176" s="77">
        <v>21938.71</v>
      </c>
      <c r="L176" s="77"/>
      <c r="M176" s="77">
        <v>13745</v>
      </c>
      <c r="N176" s="77"/>
      <c r="O176" s="77">
        <v>9029.5400000000009</v>
      </c>
      <c r="P176" s="77"/>
      <c r="Q176" s="77">
        <v>1027.55</v>
      </c>
      <c r="R176" s="77"/>
      <c r="S176" s="77">
        <v>10546.61</v>
      </c>
      <c r="T176" s="77"/>
      <c r="U176" s="77">
        <v>0</v>
      </c>
      <c r="V176" s="77"/>
      <c r="W176" s="77">
        <v>0</v>
      </c>
      <c r="X176" s="77"/>
      <c r="Y176" s="77">
        <v>0</v>
      </c>
      <c r="Z176" s="77"/>
      <c r="AA176" s="77">
        <v>1658</v>
      </c>
      <c r="AB176" s="77"/>
      <c r="AC176" s="77">
        <v>0</v>
      </c>
      <c r="AD176" s="77"/>
      <c r="AE176" s="77">
        <v>0</v>
      </c>
      <c r="AF176" s="77"/>
      <c r="AG176" s="77">
        <v>0</v>
      </c>
      <c r="AH176" s="77"/>
      <c r="AI176" s="77">
        <f t="shared" si="6"/>
        <v>398954.98999999993</v>
      </c>
      <c r="AJ176" s="24"/>
      <c r="AK176" s="15" t="str">
        <f>'Gen Rev'!A176</f>
        <v>DeGraff</v>
      </c>
      <c r="AL176" s="15" t="str">
        <f t="shared" si="7"/>
        <v>DeGraff</v>
      </c>
      <c r="AM176" s="15" t="b">
        <f t="shared" si="8"/>
        <v>1</v>
      </c>
      <c r="AN176" s="15"/>
      <c r="AO176" s="15"/>
      <c r="AP176" s="15"/>
    </row>
    <row r="177" spans="1:42" s="31" customFormat="1" ht="12" customHeight="1" x14ac:dyDescent="0.2">
      <c r="A177" s="1" t="s">
        <v>28</v>
      </c>
      <c r="B177" s="1"/>
      <c r="C177" s="1" t="s">
        <v>744</v>
      </c>
      <c r="D177" s="15"/>
      <c r="E177" s="77">
        <v>23764.02</v>
      </c>
      <c r="F177" s="77"/>
      <c r="G177" s="77">
        <v>0</v>
      </c>
      <c r="H177" s="77"/>
      <c r="I177" s="77">
        <v>57724.23</v>
      </c>
      <c r="J177" s="77"/>
      <c r="K177" s="77">
        <v>0</v>
      </c>
      <c r="L177" s="77"/>
      <c r="M177" s="77">
        <v>0</v>
      </c>
      <c r="N177" s="77"/>
      <c r="O177" s="77">
        <v>3210.5</v>
      </c>
      <c r="P177" s="77"/>
      <c r="Q177" s="77">
        <v>28.37</v>
      </c>
      <c r="R177" s="77"/>
      <c r="S177" s="77">
        <v>4428.3900000000003</v>
      </c>
      <c r="T177" s="77"/>
      <c r="U177" s="77">
        <v>0</v>
      </c>
      <c r="V177" s="77"/>
      <c r="W177" s="77">
        <v>15362</v>
      </c>
      <c r="X177" s="77"/>
      <c r="Y177" s="77">
        <v>0</v>
      </c>
      <c r="Z177" s="77"/>
      <c r="AA177" s="77">
        <v>0</v>
      </c>
      <c r="AB177" s="77"/>
      <c r="AC177" s="77">
        <v>0</v>
      </c>
      <c r="AD177" s="77"/>
      <c r="AE177" s="77">
        <v>0</v>
      </c>
      <c r="AF177" s="77"/>
      <c r="AG177" s="77">
        <v>0</v>
      </c>
      <c r="AH177" s="77"/>
      <c r="AI177" s="77">
        <f t="shared" si="6"/>
        <v>104517.51</v>
      </c>
      <c r="AJ177" s="24"/>
      <c r="AK177" s="15" t="str">
        <f>'Gen Rev'!A177</f>
        <v>Dellroy</v>
      </c>
      <c r="AL177" s="15" t="str">
        <f t="shared" si="7"/>
        <v>Dellroy</v>
      </c>
      <c r="AM177" s="15" t="b">
        <f t="shared" si="8"/>
        <v>1</v>
      </c>
      <c r="AN177" s="30"/>
      <c r="AO177" s="30"/>
      <c r="AP177" s="30"/>
    </row>
    <row r="178" spans="1:42" s="67" customFormat="1" ht="12" customHeight="1" x14ac:dyDescent="0.2">
      <c r="A178" s="15" t="s">
        <v>359</v>
      </c>
      <c r="B178" s="15"/>
      <c r="C178" s="15" t="s">
        <v>358</v>
      </c>
      <c r="D178" s="15"/>
      <c r="E178" s="77">
        <v>234403</v>
      </c>
      <c r="F178" s="77"/>
      <c r="G178" s="77">
        <v>580204</v>
      </c>
      <c r="H178" s="77"/>
      <c r="I178" s="77">
        <v>286162</v>
      </c>
      <c r="J178" s="77"/>
      <c r="K178" s="77">
        <v>572</v>
      </c>
      <c r="L178" s="77"/>
      <c r="M178" s="77">
        <v>113500</v>
      </c>
      <c r="N178" s="77"/>
      <c r="O178" s="77">
        <v>49140</v>
      </c>
      <c r="P178" s="77"/>
      <c r="Q178" s="77">
        <v>14373</v>
      </c>
      <c r="R178" s="77"/>
      <c r="S178" s="77">
        <v>97537</v>
      </c>
      <c r="T178" s="77"/>
      <c r="U178" s="77">
        <v>0</v>
      </c>
      <c r="V178" s="77"/>
      <c r="W178" s="77">
        <v>0</v>
      </c>
      <c r="X178" s="77"/>
      <c r="Y178" s="77">
        <v>0</v>
      </c>
      <c r="Z178" s="77"/>
      <c r="AA178" s="77">
        <v>0</v>
      </c>
      <c r="AB178" s="77"/>
      <c r="AC178" s="77">
        <v>0</v>
      </c>
      <c r="AD178" s="77"/>
      <c r="AE178" s="77">
        <v>0</v>
      </c>
      <c r="AF178" s="77"/>
      <c r="AG178" s="77">
        <v>0</v>
      </c>
      <c r="AH178" s="77"/>
      <c r="AI178" s="77">
        <f t="shared" si="6"/>
        <v>1375891</v>
      </c>
      <c r="AJ178" s="24"/>
      <c r="AK178" s="15" t="str">
        <f>'Gen Rev'!A178</f>
        <v>Delta</v>
      </c>
      <c r="AL178" s="15" t="str">
        <f t="shared" si="7"/>
        <v>Delta</v>
      </c>
      <c r="AM178" s="15" t="b">
        <f t="shared" si="8"/>
        <v>1</v>
      </c>
      <c r="AN178" s="31"/>
      <c r="AO178" s="31"/>
      <c r="AP178" s="31"/>
    </row>
    <row r="179" spans="1:42" ht="12" customHeight="1" x14ac:dyDescent="0.2">
      <c r="A179" s="1" t="s">
        <v>232</v>
      </c>
      <c r="B179" s="1"/>
      <c r="C179" s="1" t="s">
        <v>806</v>
      </c>
      <c r="E179" s="77">
        <v>131421.54</v>
      </c>
      <c r="F179" s="77"/>
      <c r="G179" s="77">
        <v>610744.37</v>
      </c>
      <c r="H179" s="77"/>
      <c r="I179" s="77">
        <v>220178.9</v>
      </c>
      <c r="J179" s="77"/>
      <c r="K179" s="77">
        <v>42859.26</v>
      </c>
      <c r="L179" s="77"/>
      <c r="M179" s="77">
        <v>24742</v>
      </c>
      <c r="N179" s="77"/>
      <c r="O179" s="77">
        <v>10918</v>
      </c>
      <c r="P179" s="77"/>
      <c r="Q179" s="77">
        <v>1163.52</v>
      </c>
      <c r="R179" s="77"/>
      <c r="S179" s="77">
        <v>133718.24</v>
      </c>
      <c r="T179" s="77"/>
      <c r="U179" s="77">
        <v>0</v>
      </c>
      <c r="V179" s="77"/>
      <c r="W179" s="77">
        <v>0</v>
      </c>
      <c r="X179" s="77"/>
      <c r="Y179" s="77">
        <v>285671.99</v>
      </c>
      <c r="Z179" s="77"/>
      <c r="AA179" s="77">
        <v>0</v>
      </c>
      <c r="AB179" s="77"/>
      <c r="AC179" s="77">
        <v>0</v>
      </c>
      <c r="AD179" s="77"/>
      <c r="AE179" s="77">
        <v>221</v>
      </c>
      <c r="AF179" s="77"/>
      <c r="AG179" s="77">
        <v>0</v>
      </c>
      <c r="AH179" s="77"/>
      <c r="AI179" s="77">
        <f t="shared" si="6"/>
        <v>1461638.82</v>
      </c>
      <c r="AJ179" s="24"/>
      <c r="AK179" s="15" t="str">
        <f>'Gen Rev'!A179</f>
        <v>Dennison</v>
      </c>
      <c r="AL179" s="15" t="str">
        <f t="shared" si="7"/>
        <v>Dennison</v>
      </c>
      <c r="AM179" s="15" t="b">
        <f t="shared" si="8"/>
        <v>1</v>
      </c>
      <c r="AN179" s="31"/>
      <c r="AO179" s="31"/>
      <c r="AP179" s="31"/>
    </row>
    <row r="180" spans="1:42" s="31" customFormat="1" ht="12" customHeight="1" x14ac:dyDescent="0.2">
      <c r="A180" s="1" t="s">
        <v>104</v>
      </c>
      <c r="B180" s="1"/>
      <c r="C180" s="1" t="s">
        <v>766</v>
      </c>
      <c r="D180" s="15"/>
      <c r="E180" s="77">
        <v>95822.01</v>
      </c>
      <c r="F180" s="77"/>
      <c r="G180" s="77">
        <v>243207.67</v>
      </c>
      <c r="H180" s="77"/>
      <c r="I180" s="77">
        <v>278731.93</v>
      </c>
      <c r="J180" s="77"/>
      <c r="K180" s="77">
        <v>0</v>
      </c>
      <c r="L180" s="77"/>
      <c r="M180" s="77">
        <v>2500</v>
      </c>
      <c r="N180" s="77"/>
      <c r="O180" s="77">
        <v>17762.05</v>
      </c>
      <c r="P180" s="77"/>
      <c r="Q180" s="77">
        <v>3438.3</v>
      </c>
      <c r="R180" s="77"/>
      <c r="S180" s="77">
        <v>10702.34</v>
      </c>
      <c r="T180" s="77"/>
      <c r="U180" s="77">
        <v>0</v>
      </c>
      <c r="V180" s="77"/>
      <c r="W180" s="77">
        <v>0</v>
      </c>
      <c r="X180" s="77"/>
      <c r="Y180" s="77">
        <v>0</v>
      </c>
      <c r="Z180" s="77"/>
      <c r="AA180" s="77">
        <v>321438.45</v>
      </c>
      <c r="AB180" s="77"/>
      <c r="AC180" s="77">
        <v>0</v>
      </c>
      <c r="AD180" s="77"/>
      <c r="AE180" s="77">
        <f>202978.52+270930.66</f>
        <v>473909.17999999993</v>
      </c>
      <c r="AF180" s="77"/>
      <c r="AG180" s="77">
        <v>0</v>
      </c>
      <c r="AH180" s="77"/>
      <c r="AI180" s="77">
        <f t="shared" si="6"/>
        <v>1447511.93</v>
      </c>
      <c r="AJ180" s="24"/>
      <c r="AK180" s="15" t="str">
        <f>'Gen Rev'!A180</f>
        <v>Deshler</v>
      </c>
      <c r="AL180" s="15" t="str">
        <f t="shared" si="7"/>
        <v>Deshler</v>
      </c>
      <c r="AM180" s="15" t="b">
        <f t="shared" si="8"/>
        <v>1</v>
      </c>
      <c r="AN180" s="15"/>
      <c r="AO180" s="15"/>
      <c r="AP180" s="15"/>
    </row>
    <row r="181" spans="1:42" ht="12" hidden="1" customHeight="1" x14ac:dyDescent="0.2">
      <c r="A181" s="1" t="s">
        <v>492</v>
      </c>
      <c r="B181" s="1"/>
      <c r="C181" s="1" t="s">
        <v>490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>
        <f t="shared" si="6"/>
        <v>0</v>
      </c>
      <c r="AJ181" s="24"/>
      <c r="AK181" s="15" t="str">
        <f>'Gen Rev'!A181</f>
        <v>Dexter City</v>
      </c>
      <c r="AL181" s="15" t="str">
        <f t="shared" si="7"/>
        <v>Dexter City</v>
      </c>
      <c r="AM181" s="15" t="b">
        <f t="shared" si="8"/>
        <v>1</v>
      </c>
    </row>
    <row r="182" spans="1:42" ht="12" customHeight="1" x14ac:dyDescent="0.2">
      <c r="A182" s="1" t="s">
        <v>116</v>
      </c>
      <c r="B182" s="1"/>
      <c r="C182" s="1" t="s">
        <v>770</v>
      </c>
      <c r="E182" s="77">
        <v>56818.9</v>
      </c>
      <c r="F182" s="77"/>
      <c r="G182" s="77">
        <v>0</v>
      </c>
      <c r="H182" s="77"/>
      <c r="I182" s="77">
        <v>149717.54</v>
      </c>
      <c r="J182" s="77"/>
      <c r="K182" s="77">
        <v>0</v>
      </c>
      <c r="L182" s="77"/>
      <c r="M182" s="77">
        <v>269600.76</v>
      </c>
      <c r="N182" s="77"/>
      <c r="O182" s="77">
        <v>10741.66</v>
      </c>
      <c r="P182" s="77"/>
      <c r="Q182" s="77">
        <v>1080.68</v>
      </c>
      <c r="R182" s="77"/>
      <c r="S182" s="77">
        <v>3331.17</v>
      </c>
      <c r="T182" s="77"/>
      <c r="U182" s="77">
        <v>0</v>
      </c>
      <c r="V182" s="77"/>
      <c r="W182" s="77">
        <v>17000</v>
      </c>
      <c r="X182" s="77"/>
      <c r="Y182" s="77">
        <v>0</v>
      </c>
      <c r="Z182" s="77"/>
      <c r="AA182" s="77">
        <v>0</v>
      </c>
      <c r="AB182" s="77"/>
      <c r="AC182" s="77">
        <v>8250</v>
      </c>
      <c r="AD182" s="77"/>
      <c r="AE182" s="77">
        <v>0</v>
      </c>
      <c r="AF182" s="77"/>
      <c r="AG182" s="77">
        <v>0</v>
      </c>
      <c r="AH182" s="77"/>
      <c r="AI182" s="77">
        <f t="shared" si="6"/>
        <v>516540.70999999996</v>
      </c>
      <c r="AJ182" s="24"/>
      <c r="AK182" s="15" t="str">
        <f>'Gen Rev'!A182</f>
        <v>Dillonvale</v>
      </c>
      <c r="AL182" s="15" t="str">
        <f t="shared" si="7"/>
        <v>Dillonvale</v>
      </c>
      <c r="AM182" s="15" t="b">
        <f t="shared" si="8"/>
        <v>1</v>
      </c>
      <c r="AN182" s="31"/>
      <c r="AO182" s="31"/>
      <c r="AP182" s="31"/>
    </row>
    <row r="183" spans="1:42" ht="12" customHeight="1" x14ac:dyDescent="0.2">
      <c r="A183" s="1" t="s">
        <v>816</v>
      </c>
      <c r="B183" s="1"/>
      <c r="C183" s="1" t="s">
        <v>292</v>
      </c>
      <c r="E183" s="77">
        <v>45017.9</v>
      </c>
      <c r="F183" s="77"/>
      <c r="G183" s="77">
        <v>0</v>
      </c>
      <c r="H183" s="77"/>
      <c r="I183" s="77">
        <v>14009.22</v>
      </c>
      <c r="J183" s="77"/>
      <c r="K183" s="77">
        <v>0</v>
      </c>
      <c r="L183" s="77"/>
      <c r="M183" s="77">
        <v>3168</v>
      </c>
      <c r="N183" s="77"/>
      <c r="O183" s="77">
        <v>8204.5300000000007</v>
      </c>
      <c r="P183" s="77"/>
      <c r="Q183" s="77">
        <v>568.27</v>
      </c>
      <c r="R183" s="77"/>
      <c r="S183" s="77">
        <v>5099.38</v>
      </c>
      <c r="T183" s="77"/>
      <c r="U183" s="77">
        <v>0</v>
      </c>
      <c r="V183" s="77"/>
      <c r="W183" s="77">
        <v>0</v>
      </c>
      <c r="X183" s="77"/>
      <c r="Y183" s="77">
        <v>0</v>
      </c>
      <c r="Z183" s="77"/>
      <c r="AA183" s="77">
        <v>0</v>
      </c>
      <c r="AB183" s="77"/>
      <c r="AC183" s="77">
        <v>0</v>
      </c>
      <c r="AD183" s="77"/>
      <c r="AE183" s="77">
        <v>0</v>
      </c>
      <c r="AF183" s="77"/>
      <c r="AG183" s="77">
        <v>0</v>
      </c>
      <c r="AH183" s="77"/>
      <c r="AI183" s="77">
        <f t="shared" si="6"/>
        <v>76067.300000000017</v>
      </c>
      <c r="AJ183" s="24"/>
      <c r="AK183" s="15" t="str">
        <f>'Gen Rev'!A183</f>
        <v>Donnelsville</v>
      </c>
      <c r="AL183" s="15" t="str">
        <f t="shared" si="7"/>
        <v>Donnelsville</v>
      </c>
      <c r="AM183" s="15" t="b">
        <f t="shared" si="8"/>
        <v>1</v>
      </c>
      <c r="AN183" s="32"/>
      <c r="AO183" s="32"/>
      <c r="AP183" s="32"/>
    </row>
    <row r="184" spans="1:42" s="31" customFormat="1" ht="12" customHeight="1" x14ac:dyDescent="0.2">
      <c r="A184" s="1" t="s">
        <v>592</v>
      </c>
      <c r="B184" s="1"/>
      <c r="C184" s="1" t="s">
        <v>588</v>
      </c>
      <c r="D184" s="15"/>
      <c r="E184" s="77">
        <v>293842.63</v>
      </c>
      <c r="F184" s="77"/>
      <c r="G184" s="77">
        <v>805854.59</v>
      </c>
      <c r="H184" s="77"/>
      <c r="I184" s="77">
        <v>250893.44</v>
      </c>
      <c r="J184" s="77"/>
      <c r="K184" s="77">
        <v>3035</v>
      </c>
      <c r="L184" s="77"/>
      <c r="M184" s="77">
        <v>41979.97</v>
      </c>
      <c r="N184" s="77"/>
      <c r="O184" s="77">
        <v>44802.25</v>
      </c>
      <c r="P184" s="77"/>
      <c r="Q184" s="77">
        <v>5886.43</v>
      </c>
      <c r="R184" s="77"/>
      <c r="S184" s="77">
        <v>34933.94</v>
      </c>
      <c r="T184" s="77"/>
      <c r="U184" s="77">
        <v>0</v>
      </c>
      <c r="V184" s="77"/>
      <c r="W184" s="77">
        <v>0</v>
      </c>
      <c r="X184" s="77"/>
      <c r="Y184" s="77">
        <v>0</v>
      </c>
      <c r="Z184" s="77"/>
      <c r="AA184" s="77">
        <v>136700</v>
      </c>
      <c r="AB184" s="77"/>
      <c r="AC184" s="77">
        <v>0</v>
      </c>
      <c r="AD184" s="77"/>
      <c r="AE184" s="77">
        <v>0</v>
      </c>
      <c r="AF184" s="77"/>
      <c r="AG184" s="77">
        <v>0</v>
      </c>
      <c r="AH184" s="77"/>
      <c r="AI184" s="77">
        <f t="shared" si="6"/>
        <v>1617928.2499999998</v>
      </c>
      <c r="AJ184" s="24"/>
      <c r="AK184" s="15" t="str">
        <f>'Gen Rev'!A184</f>
        <v>Doylestown</v>
      </c>
      <c r="AL184" s="15" t="str">
        <f t="shared" si="7"/>
        <v>Doylestown</v>
      </c>
      <c r="AM184" s="15" t="b">
        <f t="shared" si="8"/>
        <v>1</v>
      </c>
    </row>
    <row r="185" spans="1:42" ht="12" customHeight="1" x14ac:dyDescent="0.2">
      <c r="A185" s="1" t="s">
        <v>174</v>
      </c>
      <c r="B185" s="1"/>
      <c r="C185" s="1" t="s">
        <v>789</v>
      </c>
      <c r="E185" s="77">
        <v>215874.67</v>
      </c>
      <c r="F185" s="77"/>
      <c r="G185" s="77">
        <v>232281.47</v>
      </c>
      <c r="H185" s="77"/>
      <c r="I185" s="77">
        <v>106500.47</v>
      </c>
      <c r="J185" s="77"/>
      <c r="K185" s="77">
        <v>18686.3</v>
      </c>
      <c r="L185" s="77"/>
      <c r="M185" s="77">
        <v>20100</v>
      </c>
      <c r="N185" s="77"/>
      <c r="O185" s="77">
        <v>2603.5500000000002</v>
      </c>
      <c r="P185" s="77"/>
      <c r="Q185" s="77">
        <v>3838.21</v>
      </c>
      <c r="R185" s="77"/>
      <c r="S185" s="77">
        <v>31155.7</v>
      </c>
      <c r="T185" s="77"/>
      <c r="U185" s="77">
        <v>0</v>
      </c>
      <c r="V185" s="77"/>
      <c r="W185" s="77">
        <v>0</v>
      </c>
      <c r="X185" s="77"/>
      <c r="Y185" s="77">
        <v>0</v>
      </c>
      <c r="Z185" s="77"/>
      <c r="AA185" s="77">
        <v>278257</v>
      </c>
      <c r="AB185" s="77"/>
      <c r="AC185" s="77">
        <v>0</v>
      </c>
      <c r="AD185" s="77"/>
      <c r="AE185" s="77">
        <v>4483.2</v>
      </c>
      <c r="AF185" s="77"/>
      <c r="AG185" s="77">
        <v>0</v>
      </c>
      <c r="AH185" s="77"/>
      <c r="AI185" s="77">
        <f t="shared" si="6"/>
        <v>913780.57</v>
      </c>
      <c r="AJ185" s="24"/>
      <c r="AK185" s="15" t="str">
        <f>'Gen Rev'!A185</f>
        <v>Dresden</v>
      </c>
      <c r="AL185" s="15" t="str">
        <f t="shared" si="7"/>
        <v>Dresden</v>
      </c>
      <c r="AM185" s="15" t="b">
        <f t="shared" si="8"/>
        <v>1</v>
      </c>
    </row>
    <row r="186" spans="1:42" s="31" customFormat="1" ht="12" customHeight="1" x14ac:dyDescent="0.2">
      <c r="A186" s="1" t="s">
        <v>397</v>
      </c>
      <c r="B186" s="1"/>
      <c r="C186" s="1" t="s">
        <v>396</v>
      </c>
      <c r="D186" s="15"/>
      <c r="E186" s="77">
        <v>25136.97</v>
      </c>
      <c r="F186" s="77"/>
      <c r="G186" s="77">
        <v>76234.62</v>
      </c>
      <c r="H186" s="77"/>
      <c r="I186" s="77">
        <v>234364.68</v>
      </c>
      <c r="J186" s="77"/>
      <c r="K186" s="77">
        <v>0</v>
      </c>
      <c r="L186" s="77"/>
      <c r="M186" s="77">
        <v>1150</v>
      </c>
      <c r="N186" s="77"/>
      <c r="O186" s="77">
        <v>5143.2700000000004</v>
      </c>
      <c r="P186" s="77"/>
      <c r="Q186" s="77">
        <v>919.91</v>
      </c>
      <c r="R186" s="77"/>
      <c r="S186" s="77">
        <v>13831.61</v>
      </c>
      <c r="T186" s="77"/>
      <c r="U186" s="77">
        <v>0</v>
      </c>
      <c r="V186" s="77"/>
      <c r="W186" s="77">
        <v>0</v>
      </c>
      <c r="X186" s="77"/>
      <c r="Y186" s="77">
        <v>0</v>
      </c>
      <c r="Z186" s="77"/>
      <c r="AA186" s="77">
        <v>0</v>
      </c>
      <c r="AB186" s="77"/>
      <c r="AC186" s="77">
        <v>0</v>
      </c>
      <c r="AD186" s="77"/>
      <c r="AE186" s="77">
        <v>0</v>
      </c>
      <c r="AF186" s="77"/>
      <c r="AG186" s="77">
        <v>0</v>
      </c>
      <c r="AH186" s="77"/>
      <c r="AI186" s="77">
        <f t="shared" si="6"/>
        <v>356781.06</v>
      </c>
      <c r="AJ186" s="24"/>
      <c r="AK186" s="15" t="str">
        <f>'Gen Rev'!A186</f>
        <v>Dunkirk</v>
      </c>
      <c r="AL186" s="15" t="str">
        <f t="shared" si="7"/>
        <v>Dunkirk</v>
      </c>
      <c r="AM186" s="15" t="b">
        <f t="shared" si="8"/>
        <v>1</v>
      </c>
    </row>
    <row r="187" spans="1:42" ht="12" customHeight="1" x14ac:dyDescent="0.2">
      <c r="A187" s="1" t="s">
        <v>203</v>
      </c>
      <c r="B187" s="1"/>
      <c r="C187" s="1" t="s">
        <v>797</v>
      </c>
      <c r="E187" s="77">
        <v>7533.32</v>
      </c>
      <c r="F187" s="77"/>
      <c r="G187" s="77">
        <v>0</v>
      </c>
      <c r="H187" s="77"/>
      <c r="I187" s="77">
        <v>45876.3</v>
      </c>
      <c r="J187" s="77"/>
      <c r="K187" s="77">
        <v>0</v>
      </c>
      <c r="L187" s="77"/>
      <c r="M187" s="77">
        <v>14500</v>
      </c>
      <c r="N187" s="77"/>
      <c r="O187" s="77">
        <v>0</v>
      </c>
      <c r="P187" s="77"/>
      <c r="Q187" s="77">
        <v>67.510000000000005</v>
      </c>
      <c r="R187" s="77"/>
      <c r="S187" s="77">
        <v>335</v>
      </c>
      <c r="T187" s="77"/>
      <c r="U187" s="77">
        <v>0</v>
      </c>
      <c r="V187" s="77"/>
      <c r="W187" s="77">
        <v>0</v>
      </c>
      <c r="X187" s="77"/>
      <c r="Y187" s="77">
        <v>0</v>
      </c>
      <c r="Z187" s="77"/>
      <c r="AA187" s="77">
        <v>0</v>
      </c>
      <c r="AB187" s="77"/>
      <c r="AC187" s="77">
        <v>0</v>
      </c>
      <c r="AD187" s="77"/>
      <c r="AE187" s="77">
        <v>0</v>
      </c>
      <c r="AF187" s="77"/>
      <c r="AG187" s="77">
        <v>0</v>
      </c>
      <c r="AH187" s="77"/>
      <c r="AI187" s="77">
        <f t="shared" si="6"/>
        <v>68312.12999999999</v>
      </c>
      <c r="AJ187" s="24"/>
      <c r="AK187" s="15" t="str">
        <f>'Gen Rev'!A187</f>
        <v>Dupont</v>
      </c>
      <c r="AL187" s="15" t="str">
        <f t="shared" si="7"/>
        <v>Dupont</v>
      </c>
      <c r="AM187" s="15" t="b">
        <f t="shared" si="8"/>
        <v>1</v>
      </c>
    </row>
    <row r="188" spans="1:42" s="31" customFormat="1" ht="12" customHeight="1" x14ac:dyDescent="0.2">
      <c r="A188" s="1" t="s">
        <v>542</v>
      </c>
      <c r="B188" s="1"/>
      <c r="C188" s="1" t="s">
        <v>540</v>
      </c>
      <c r="D188" s="15"/>
      <c r="E188" s="77">
        <v>47199.05</v>
      </c>
      <c r="F188" s="77"/>
      <c r="G188" s="77">
        <v>301253.17</v>
      </c>
      <c r="H188" s="77"/>
      <c r="I188" s="77">
        <v>255509.85</v>
      </c>
      <c r="J188" s="77"/>
      <c r="K188" s="77">
        <v>0</v>
      </c>
      <c r="L188" s="77"/>
      <c r="M188" s="77">
        <v>2648.28</v>
      </c>
      <c r="N188" s="77"/>
      <c r="O188" s="77">
        <v>103026.01</v>
      </c>
      <c r="P188" s="77"/>
      <c r="Q188" s="77">
        <v>1659.72</v>
      </c>
      <c r="R188" s="77"/>
      <c r="S188" s="77">
        <v>0</v>
      </c>
      <c r="T188" s="77"/>
      <c r="U188" s="77">
        <v>0</v>
      </c>
      <c r="V188" s="77"/>
      <c r="W188" s="77">
        <v>0</v>
      </c>
      <c r="X188" s="77"/>
      <c r="Y188" s="77">
        <v>0</v>
      </c>
      <c r="Z188" s="77"/>
      <c r="AA188" s="77">
        <v>10000</v>
      </c>
      <c r="AB188" s="77"/>
      <c r="AC188" s="77">
        <v>0</v>
      </c>
      <c r="AD188" s="77"/>
      <c r="AE188" s="77">
        <v>0</v>
      </c>
      <c r="AF188" s="77"/>
      <c r="AG188" s="77">
        <v>8515.2000000000007</v>
      </c>
      <c r="AH188" s="77"/>
      <c r="AI188" s="77">
        <f t="shared" si="6"/>
        <v>729811.27999999991</v>
      </c>
      <c r="AJ188" s="24"/>
      <c r="AK188" s="15" t="str">
        <f>'Gen Rev'!A188</f>
        <v>East Canton</v>
      </c>
      <c r="AL188" s="15" t="str">
        <f t="shared" si="7"/>
        <v>East Canton</v>
      </c>
      <c r="AM188" s="15" t="b">
        <f t="shared" si="8"/>
        <v>1</v>
      </c>
      <c r="AN188" s="15"/>
      <c r="AO188" s="15"/>
      <c r="AP188" s="15"/>
    </row>
    <row r="189" spans="1:42" ht="12" customHeight="1" x14ac:dyDescent="0.2">
      <c r="A189" s="24" t="s">
        <v>944</v>
      </c>
      <c r="B189" s="24"/>
      <c r="C189" s="24" t="s">
        <v>305</v>
      </c>
      <c r="D189" s="24"/>
      <c r="E189" s="77">
        <v>1626121</v>
      </c>
      <c r="F189" s="77"/>
      <c r="G189" s="77">
        <v>0</v>
      </c>
      <c r="H189" s="77"/>
      <c r="I189" s="77">
        <v>972255</v>
      </c>
      <c r="J189" s="77"/>
      <c r="K189" s="77">
        <v>0</v>
      </c>
      <c r="L189" s="77"/>
      <c r="M189" s="77">
        <v>286279</v>
      </c>
      <c r="N189" s="77"/>
      <c r="O189" s="77">
        <f>71605+14603</f>
        <v>86208</v>
      </c>
      <c r="P189" s="77"/>
      <c r="Q189" s="77">
        <v>632</v>
      </c>
      <c r="R189" s="77"/>
      <c r="S189" s="77">
        <v>23879</v>
      </c>
      <c r="T189" s="77"/>
      <c r="U189" s="77">
        <v>0</v>
      </c>
      <c r="V189" s="77"/>
      <c r="W189" s="77">
        <v>0</v>
      </c>
      <c r="X189" s="77"/>
      <c r="Y189" s="77">
        <v>1100</v>
      </c>
      <c r="Z189" s="77"/>
      <c r="AA189" s="77">
        <v>103943</v>
      </c>
      <c r="AB189" s="77"/>
      <c r="AC189" s="77">
        <v>0</v>
      </c>
      <c r="AD189" s="77"/>
      <c r="AE189" s="77">
        <v>367250</v>
      </c>
      <c r="AF189" s="77"/>
      <c r="AG189" s="77">
        <v>0</v>
      </c>
      <c r="AH189" s="77"/>
      <c r="AI189" s="77">
        <f t="shared" si="6"/>
        <v>3467667</v>
      </c>
      <c r="AJ189" s="24"/>
      <c r="AK189" s="15" t="str">
        <f>'Gen Rev'!A189</f>
        <v>East Palestine</v>
      </c>
      <c r="AL189" s="15" t="str">
        <f t="shared" si="7"/>
        <v>East Palestine</v>
      </c>
      <c r="AM189" s="15" t="b">
        <f t="shared" si="8"/>
        <v>1</v>
      </c>
      <c r="AN189" s="29"/>
      <c r="AO189" s="29"/>
      <c r="AP189" s="29"/>
    </row>
    <row r="190" spans="1:42" s="29" customFormat="1" ht="12" customHeight="1" x14ac:dyDescent="0.2">
      <c r="A190" s="1" t="s">
        <v>224</v>
      </c>
      <c r="B190" s="1"/>
      <c r="C190" s="1" t="s">
        <v>804</v>
      </c>
      <c r="D190" s="15"/>
      <c r="E190" s="77">
        <v>196856.07</v>
      </c>
      <c r="F190" s="77"/>
      <c r="G190" s="77">
        <v>0</v>
      </c>
      <c r="H190" s="77"/>
      <c r="I190" s="77">
        <v>66731.58</v>
      </c>
      <c r="J190" s="77"/>
      <c r="K190" s="77">
        <v>0</v>
      </c>
      <c r="L190" s="77"/>
      <c r="M190" s="77">
        <v>55089.25</v>
      </c>
      <c r="N190" s="77"/>
      <c r="O190" s="77">
        <v>12828.05</v>
      </c>
      <c r="P190" s="77"/>
      <c r="Q190" s="77">
        <v>173.34</v>
      </c>
      <c r="R190" s="77"/>
      <c r="S190" s="77">
        <v>65237.11</v>
      </c>
      <c r="T190" s="77"/>
      <c r="U190" s="77">
        <v>0</v>
      </c>
      <c r="V190" s="77"/>
      <c r="W190" s="77">
        <v>0</v>
      </c>
      <c r="X190" s="77"/>
      <c r="Y190" s="77">
        <v>0</v>
      </c>
      <c r="Z190" s="77"/>
      <c r="AA190" s="77">
        <v>0</v>
      </c>
      <c r="AB190" s="77"/>
      <c r="AC190" s="77">
        <v>0</v>
      </c>
      <c r="AD190" s="77"/>
      <c r="AE190" s="77">
        <v>0</v>
      </c>
      <c r="AF190" s="77"/>
      <c r="AG190" s="77">
        <v>0</v>
      </c>
      <c r="AH190" s="77"/>
      <c r="AI190" s="77">
        <f t="shared" si="6"/>
        <v>396915.4</v>
      </c>
      <c r="AJ190" s="24"/>
      <c r="AK190" s="15" t="str">
        <f>'Gen Rev'!A190</f>
        <v>East Sparta</v>
      </c>
      <c r="AL190" s="15" t="str">
        <f t="shared" si="7"/>
        <v>East Sparta</v>
      </c>
      <c r="AM190" s="15" t="b">
        <f t="shared" si="8"/>
        <v>1</v>
      </c>
      <c r="AN190" s="15"/>
      <c r="AO190" s="15"/>
      <c r="AP190" s="15"/>
    </row>
    <row r="191" spans="1:42" s="29" customFormat="1" ht="12" customHeight="1" x14ac:dyDescent="0.2">
      <c r="A191" s="15" t="s">
        <v>595</v>
      </c>
      <c r="B191" s="15"/>
      <c r="C191" s="15" t="s">
        <v>596</v>
      </c>
      <c r="D191" s="15"/>
      <c r="E191" s="77">
        <v>236167</v>
      </c>
      <c r="F191" s="77"/>
      <c r="G191" s="77">
        <v>452236</v>
      </c>
      <c r="H191" s="77"/>
      <c r="I191" s="77">
        <v>198000</v>
      </c>
      <c r="J191" s="77"/>
      <c r="K191" s="77">
        <v>0</v>
      </c>
      <c r="L191" s="77"/>
      <c r="M191" s="77">
        <v>38924</v>
      </c>
      <c r="N191" s="77"/>
      <c r="O191" s="77">
        <v>15768</v>
      </c>
      <c r="P191" s="77"/>
      <c r="Q191" s="77">
        <v>1364</v>
      </c>
      <c r="R191" s="77"/>
      <c r="S191" s="77">
        <v>40999</v>
      </c>
      <c r="T191" s="77"/>
      <c r="U191" s="77">
        <v>900000</v>
      </c>
      <c r="V191" s="77"/>
      <c r="W191" s="77">
        <v>0</v>
      </c>
      <c r="X191" s="77"/>
      <c r="Y191" s="77">
        <v>0</v>
      </c>
      <c r="Z191" s="77"/>
      <c r="AA191" s="77">
        <v>0</v>
      </c>
      <c r="AB191" s="77"/>
      <c r="AC191" s="77">
        <v>0</v>
      </c>
      <c r="AD191" s="77"/>
      <c r="AE191" s="77">
        <v>34632</v>
      </c>
      <c r="AF191" s="77"/>
      <c r="AG191" s="77">
        <v>0</v>
      </c>
      <c r="AH191" s="77"/>
      <c r="AI191" s="77">
        <f t="shared" si="6"/>
        <v>1918090</v>
      </c>
      <c r="AJ191" s="24"/>
      <c r="AK191" s="15" t="str">
        <f>'Gen Rev'!A191</f>
        <v>Edgerton</v>
      </c>
      <c r="AL191" s="15" t="str">
        <f t="shared" si="7"/>
        <v>Edgerton</v>
      </c>
      <c r="AM191" s="15" t="b">
        <f t="shared" si="8"/>
        <v>1</v>
      </c>
      <c r="AN191" s="31"/>
      <c r="AO191" s="31"/>
      <c r="AP191" s="31"/>
    </row>
    <row r="192" spans="1:42" ht="12" customHeight="1" x14ac:dyDescent="0.2">
      <c r="A192" s="1" t="s">
        <v>172</v>
      </c>
      <c r="B192" s="1"/>
      <c r="C192" s="1" t="s">
        <v>788</v>
      </c>
      <c r="E192" s="77">
        <v>56356.35</v>
      </c>
      <c r="F192" s="77"/>
      <c r="G192" s="77">
        <v>25995.78</v>
      </c>
      <c r="H192" s="77"/>
      <c r="I192" s="77">
        <v>40105.86</v>
      </c>
      <c r="J192" s="77"/>
      <c r="K192" s="77">
        <v>36031.11</v>
      </c>
      <c r="L192" s="77"/>
      <c r="M192" s="77">
        <v>0</v>
      </c>
      <c r="N192" s="77"/>
      <c r="O192" s="77">
        <v>14120.99</v>
      </c>
      <c r="P192" s="77"/>
      <c r="Q192" s="77">
        <v>26.67</v>
      </c>
      <c r="R192" s="77"/>
      <c r="S192" s="77">
        <v>2851.1</v>
      </c>
      <c r="T192" s="77"/>
      <c r="U192" s="77">
        <v>0</v>
      </c>
      <c r="V192" s="77"/>
      <c r="W192" s="77">
        <v>0</v>
      </c>
      <c r="X192" s="77"/>
      <c r="Y192" s="77">
        <v>0</v>
      </c>
      <c r="Z192" s="77"/>
      <c r="AA192" s="77">
        <v>0</v>
      </c>
      <c r="AB192" s="77"/>
      <c r="AC192" s="77">
        <v>0</v>
      </c>
      <c r="AD192" s="77"/>
      <c r="AE192" s="77">
        <v>4134.04</v>
      </c>
      <c r="AF192" s="77"/>
      <c r="AG192" s="77">
        <v>0</v>
      </c>
      <c r="AH192" s="77"/>
      <c r="AI192" s="77">
        <f t="shared" si="6"/>
        <v>179621.90000000002</v>
      </c>
      <c r="AJ192" s="24"/>
      <c r="AK192" s="15" t="str">
        <f>'Gen Rev'!A192</f>
        <v>Edison</v>
      </c>
      <c r="AL192" s="15" t="str">
        <f t="shared" si="7"/>
        <v>Edison</v>
      </c>
      <c r="AM192" s="15" t="b">
        <f t="shared" si="8"/>
        <v>1</v>
      </c>
    </row>
    <row r="193" spans="1:42" s="31" customFormat="1" ht="12" customHeight="1" x14ac:dyDescent="0.2">
      <c r="A193" s="1" t="s">
        <v>253</v>
      </c>
      <c r="B193" s="1"/>
      <c r="C193" s="1" t="s">
        <v>812</v>
      </c>
      <c r="D193" s="15"/>
      <c r="E193" s="77">
        <v>22481.4</v>
      </c>
      <c r="F193" s="77"/>
      <c r="G193" s="77">
        <v>274364.69</v>
      </c>
      <c r="H193" s="77"/>
      <c r="I193" s="77">
        <v>117723.81</v>
      </c>
      <c r="J193" s="77"/>
      <c r="K193" s="77">
        <v>1563.29</v>
      </c>
      <c r="L193" s="77"/>
      <c r="M193" s="77">
        <v>0</v>
      </c>
      <c r="N193" s="77"/>
      <c r="O193" s="77">
        <v>6878.65</v>
      </c>
      <c r="P193" s="77"/>
      <c r="Q193" s="77">
        <v>698.92</v>
      </c>
      <c r="R193" s="77"/>
      <c r="S193" s="77">
        <v>32871.230000000003</v>
      </c>
      <c r="T193" s="77"/>
      <c r="U193" s="77">
        <v>0</v>
      </c>
      <c r="V193" s="77"/>
      <c r="W193" s="77">
        <v>0</v>
      </c>
      <c r="X193" s="77"/>
      <c r="Y193" s="77">
        <v>0</v>
      </c>
      <c r="Z193" s="77"/>
      <c r="AA193" s="77">
        <v>0</v>
      </c>
      <c r="AB193" s="77"/>
      <c r="AC193" s="77">
        <v>0</v>
      </c>
      <c r="AD193" s="77"/>
      <c r="AE193" s="77">
        <v>5078.37</v>
      </c>
      <c r="AF193" s="77"/>
      <c r="AG193" s="77">
        <v>0</v>
      </c>
      <c r="AH193" s="77"/>
      <c r="AI193" s="77">
        <f t="shared" si="6"/>
        <v>461660.36</v>
      </c>
      <c r="AJ193" s="24"/>
      <c r="AK193" s="15" t="str">
        <f>'Gen Rev'!A193</f>
        <v>Edon</v>
      </c>
      <c r="AL193" s="15" t="str">
        <f t="shared" si="7"/>
        <v>Edon</v>
      </c>
      <c r="AM193" s="15" t="b">
        <f t="shared" si="8"/>
        <v>1</v>
      </c>
      <c r="AN193" s="15"/>
      <c r="AO193" s="15"/>
      <c r="AP193" s="15"/>
    </row>
    <row r="194" spans="1:42" ht="12" customHeight="1" x14ac:dyDescent="0.2">
      <c r="A194" s="1" t="s">
        <v>200</v>
      </c>
      <c r="B194" s="1"/>
      <c r="C194" s="1" t="s">
        <v>796</v>
      </c>
      <c r="E194" s="77">
        <v>28708.560000000001</v>
      </c>
      <c r="F194" s="77"/>
      <c r="G194" s="77">
        <v>0</v>
      </c>
      <c r="H194" s="77"/>
      <c r="I194" s="77">
        <v>60014.87</v>
      </c>
      <c r="J194" s="77"/>
      <c r="K194" s="77">
        <v>0</v>
      </c>
      <c r="L194" s="77"/>
      <c r="M194" s="77">
        <v>89924.88</v>
      </c>
      <c r="N194" s="77"/>
      <c r="O194" s="77">
        <v>330</v>
      </c>
      <c r="P194" s="77"/>
      <c r="Q194" s="77">
        <v>4056.04</v>
      </c>
      <c r="R194" s="77"/>
      <c r="S194" s="77">
        <v>2180.3000000000002</v>
      </c>
      <c r="T194" s="77"/>
      <c r="U194" s="77">
        <v>0</v>
      </c>
      <c r="V194" s="77"/>
      <c r="W194" s="77">
        <v>0</v>
      </c>
      <c r="X194" s="77"/>
      <c r="Y194" s="77">
        <v>0</v>
      </c>
      <c r="Z194" s="77"/>
      <c r="AA194" s="77">
        <v>17408.13</v>
      </c>
      <c r="AB194" s="77"/>
      <c r="AC194" s="77">
        <v>0</v>
      </c>
      <c r="AD194" s="77"/>
      <c r="AE194" s="77">
        <v>0</v>
      </c>
      <c r="AF194" s="77"/>
      <c r="AG194" s="77">
        <v>0</v>
      </c>
      <c r="AH194" s="77"/>
      <c r="AI194" s="77">
        <f t="shared" si="6"/>
        <v>202622.78</v>
      </c>
      <c r="AJ194" s="37"/>
      <c r="AK194" s="15" t="str">
        <f>'Gen Rev'!A194</f>
        <v>Eldorado</v>
      </c>
      <c r="AL194" s="15" t="str">
        <f t="shared" si="7"/>
        <v>Eldorado</v>
      </c>
      <c r="AM194" s="15" t="b">
        <f t="shared" si="8"/>
        <v>1</v>
      </c>
      <c r="AN194" s="31"/>
      <c r="AO194" s="31"/>
      <c r="AP194" s="31"/>
    </row>
    <row r="195" spans="1:42" ht="12" hidden="1" customHeight="1" x14ac:dyDescent="0.2">
      <c r="A195" s="1" t="s">
        <v>571</v>
      </c>
      <c r="B195" s="1"/>
      <c r="C195" s="1" t="s">
        <v>808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>
        <f t="shared" si="6"/>
        <v>0</v>
      </c>
      <c r="AJ195" s="24"/>
      <c r="AK195" s="15" t="str">
        <f>'Gen Rev'!A195</f>
        <v>Elgin</v>
      </c>
      <c r="AL195" s="15" t="str">
        <f t="shared" si="7"/>
        <v>Elgin</v>
      </c>
      <c r="AM195" s="15" t="b">
        <f t="shared" si="8"/>
        <v>1</v>
      </c>
    </row>
    <row r="196" spans="1:42" ht="12" customHeight="1" x14ac:dyDescent="0.2">
      <c r="A196" s="1" t="s">
        <v>3</v>
      </c>
      <c r="B196" s="1"/>
      <c r="C196" s="1" t="s">
        <v>737</v>
      </c>
      <c r="E196" s="77">
        <v>65417.05</v>
      </c>
      <c r="F196" s="77"/>
      <c r="G196" s="77">
        <v>425655.62</v>
      </c>
      <c r="H196" s="77"/>
      <c r="I196" s="77">
        <v>196859.78</v>
      </c>
      <c r="J196" s="77"/>
      <c r="K196" s="77">
        <v>0</v>
      </c>
      <c r="L196" s="77"/>
      <c r="M196" s="77">
        <v>0</v>
      </c>
      <c r="N196" s="77"/>
      <c r="O196" s="77">
        <v>27601.82</v>
      </c>
      <c r="P196" s="77"/>
      <c r="Q196" s="77">
        <v>392.09</v>
      </c>
      <c r="R196" s="77"/>
      <c r="S196" s="77">
        <v>17680.849999999999</v>
      </c>
      <c r="T196" s="77"/>
      <c r="U196" s="77">
        <v>0</v>
      </c>
      <c r="V196" s="77"/>
      <c r="W196" s="77">
        <v>0</v>
      </c>
      <c r="X196" s="77"/>
      <c r="Y196" s="77">
        <v>0</v>
      </c>
      <c r="Z196" s="77"/>
      <c r="AA196" s="77">
        <v>859138.3</v>
      </c>
      <c r="AB196" s="77"/>
      <c r="AC196" s="77">
        <v>0</v>
      </c>
      <c r="AD196" s="77"/>
      <c r="AE196" s="77">
        <v>603057.28</v>
      </c>
      <c r="AF196" s="77"/>
      <c r="AG196" s="77">
        <v>0</v>
      </c>
      <c r="AH196" s="77"/>
      <c r="AI196" s="77">
        <f t="shared" si="6"/>
        <v>2195802.79</v>
      </c>
      <c r="AJ196" s="24"/>
      <c r="AK196" s="15" t="str">
        <f>'Gen Rev'!A196</f>
        <v>Elida</v>
      </c>
      <c r="AL196" s="15" t="str">
        <f t="shared" si="7"/>
        <v>Elida</v>
      </c>
      <c r="AM196" s="15" t="b">
        <f t="shared" si="8"/>
        <v>1</v>
      </c>
    </row>
    <row r="197" spans="1:42" ht="12" customHeight="1" x14ac:dyDescent="0.2">
      <c r="A197" s="1" t="s">
        <v>180</v>
      </c>
      <c r="B197" s="1"/>
      <c r="C197" s="1" t="s">
        <v>791</v>
      </c>
      <c r="E197" s="77">
        <v>342608.79</v>
      </c>
      <c r="F197" s="77"/>
      <c r="G197" s="77">
        <v>693329.57</v>
      </c>
      <c r="H197" s="77"/>
      <c r="I197" s="77">
        <v>385577.37</v>
      </c>
      <c r="J197" s="77"/>
      <c r="K197" s="77">
        <v>0</v>
      </c>
      <c r="L197" s="77"/>
      <c r="M197" s="77">
        <v>2650</v>
      </c>
      <c r="N197" s="77"/>
      <c r="O197" s="77">
        <v>14800.53</v>
      </c>
      <c r="P197" s="77"/>
      <c r="Q197" s="77">
        <v>3314.32</v>
      </c>
      <c r="R197" s="77"/>
      <c r="S197" s="77">
        <v>58577.65</v>
      </c>
      <c r="T197" s="77"/>
      <c r="U197" s="77">
        <v>0</v>
      </c>
      <c r="V197" s="77"/>
      <c r="W197" s="77">
        <v>0</v>
      </c>
      <c r="X197" s="77"/>
      <c r="Y197" s="77">
        <v>0</v>
      </c>
      <c r="Z197" s="77"/>
      <c r="AA197" s="77">
        <v>0</v>
      </c>
      <c r="AB197" s="77"/>
      <c r="AC197" s="77">
        <v>0</v>
      </c>
      <c r="AD197" s="77"/>
      <c r="AE197" s="77">
        <v>0</v>
      </c>
      <c r="AF197" s="77"/>
      <c r="AG197" s="77">
        <v>0</v>
      </c>
      <c r="AH197" s="77"/>
      <c r="AI197" s="77">
        <f t="shared" si="6"/>
        <v>1500858.23</v>
      </c>
      <c r="AJ197" s="24"/>
      <c r="AK197" s="15" t="str">
        <f>'Gen Rev'!A197</f>
        <v>Elmore</v>
      </c>
      <c r="AL197" s="15" t="str">
        <f t="shared" si="7"/>
        <v>Elmore</v>
      </c>
      <c r="AM197" s="15" t="b">
        <f t="shared" si="8"/>
        <v>1</v>
      </c>
    </row>
    <row r="198" spans="1:42" ht="12" customHeight="1" x14ac:dyDescent="0.2">
      <c r="A198" s="1" t="s">
        <v>92</v>
      </c>
      <c r="B198" s="1"/>
      <c r="C198" s="1" t="s">
        <v>378</v>
      </c>
      <c r="E198" s="77">
        <v>297400.69</v>
      </c>
      <c r="F198" s="77"/>
      <c r="G198" s="77">
        <v>274684.76</v>
      </c>
      <c r="H198" s="77"/>
      <c r="I198" s="77">
        <v>165519.38</v>
      </c>
      <c r="J198" s="77"/>
      <c r="K198" s="77">
        <v>0</v>
      </c>
      <c r="L198" s="77"/>
      <c r="M198" s="77">
        <v>212377.94</v>
      </c>
      <c r="N198" s="77"/>
      <c r="O198" s="77">
        <v>876083.3</v>
      </c>
      <c r="P198" s="77"/>
      <c r="Q198" s="77">
        <v>279.07</v>
      </c>
      <c r="R198" s="77"/>
      <c r="S198" s="77">
        <v>24590.67</v>
      </c>
      <c r="T198" s="77"/>
      <c r="U198" s="77">
        <v>0</v>
      </c>
      <c r="V198" s="77"/>
      <c r="W198" s="77">
        <v>0</v>
      </c>
      <c r="X198" s="77"/>
      <c r="Y198" s="77">
        <v>0</v>
      </c>
      <c r="Z198" s="77"/>
      <c r="AA198" s="77">
        <v>0</v>
      </c>
      <c r="AB198" s="77"/>
      <c r="AC198" s="77">
        <v>0</v>
      </c>
      <c r="AD198" s="77"/>
      <c r="AE198" s="77">
        <v>0</v>
      </c>
      <c r="AF198" s="77"/>
      <c r="AG198" s="77">
        <v>0</v>
      </c>
      <c r="AH198" s="77"/>
      <c r="AI198" s="77">
        <f t="shared" si="6"/>
        <v>1850935.81</v>
      </c>
      <c r="AJ198" s="24"/>
      <c r="AK198" s="15" t="str">
        <f>'Gen Rev'!A198</f>
        <v>Elmwood Place</v>
      </c>
      <c r="AL198" s="15" t="str">
        <f t="shared" si="7"/>
        <v>Elmwood Place</v>
      </c>
      <c r="AM198" s="15" t="b">
        <f t="shared" si="8"/>
        <v>1</v>
      </c>
    </row>
    <row r="199" spans="1:42" ht="12" customHeight="1" x14ac:dyDescent="0.2">
      <c r="A199" s="1" t="s">
        <v>117</v>
      </c>
      <c r="B199" s="1"/>
      <c r="C199" s="1" t="s">
        <v>770</v>
      </c>
      <c r="E199" s="77">
        <v>16800.32</v>
      </c>
      <c r="F199" s="77"/>
      <c r="G199" s="77">
        <v>0</v>
      </c>
      <c r="H199" s="77"/>
      <c r="I199" s="77">
        <v>23958.65</v>
      </c>
      <c r="J199" s="77"/>
      <c r="K199" s="77">
        <v>0</v>
      </c>
      <c r="L199" s="77"/>
      <c r="M199" s="77">
        <v>0</v>
      </c>
      <c r="N199" s="77"/>
      <c r="O199" s="77">
        <v>9898.14</v>
      </c>
      <c r="P199" s="77"/>
      <c r="Q199" s="77">
        <v>22.04</v>
      </c>
      <c r="R199" s="77"/>
      <c r="S199" s="77">
        <v>1500</v>
      </c>
      <c r="T199" s="77"/>
      <c r="U199" s="77">
        <v>0</v>
      </c>
      <c r="V199" s="77"/>
      <c r="W199" s="77">
        <v>0</v>
      </c>
      <c r="X199" s="77"/>
      <c r="Y199" s="77">
        <v>0</v>
      </c>
      <c r="Z199" s="77"/>
      <c r="AA199" s="77">
        <v>0</v>
      </c>
      <c r="AB199" s="77"/>
      <c r="AC199" s="77">
        <v>0</v>
      </c>
      <c r="AD199" s="77"/>
      <c r="AE199" s="77">
        <v>0</v>
      </c>
      <c r="AF199" s="77"/>
      <c r="AG199" s="77">
        <v>0</v>
      </c>
      <c r="AH199" s="77"/>
      <c r="AI199" s="77">
        <f t="shared" si="6"/>
        <v>52179.15</v>
      </c>
      <c r="AJ199" s="24"/>
      <c r="AK199" s="15" t="str">
        <f>'Gen Rev'!A199</f>
        <v>Empire</v>
      </c>
      <c r="AL199" s="15" t="str">
        <f t="shared" si="7"/>
        <v>Empire</v>
      </c>
      <c r="AM199" s="15" t="b">
        <f t="shared" si="8"/>
        <v>1</v>
      </c>
    </row>
    <row r="200" spans="1:42" s="31" customFormat="1" ht="12" customHeight="1" x14ac:dyDescent="0.2">
      <c r="A200" s="15" t="s">
        <v>291</v>
      </c>
      <c r="B200" s="15"/>
      <c r="C200" s="15" t="s">
        <v>292</v>
      </c>
      <c r="D200" s="15"/>
      <c r="E200" s="77">
        <f>316989+14792</f>
        <v>331781</v>
      </c>
      <c r="F200" s="77"/>
      <c r="G200" s="77">
        <v>0</v>
      </c>
      <c r="H200" s="77"/>
      <c r="I200" s="77">
        <f>218051+7804</f>
        <v>225855</v>
      </c>
      <c r="J200" s="77"/>
      <c r="K200" s="77">
        <v>4605</v>
      </c>
      <c r="L200" s="77"/>
      <c r="M200" s="77">
        <v>685535</v>
      </c>
      <c r="N200" s="77"/>
      <c r="O200" s="77">
        <f>2694+42987</f>
        <v>45681</v>
      </c>
      <c r="P200" s="77"/>
      <c r="Q200" s="77">
        <v>1447</v>
      </c>
      <c r="R200" s="77"/>
      <c r="S200" s="77">
        <f>110621+5710</f>
        <v>116331</v>
      </c>
      <c r="T200" s="77"/>
      <c r="U200" s="77">
        <v>0</v>
      </c>
      <c r="V200" s="77"/>
      <c r="W200" s="77">
        <v>0</v>
      </c>
      <c r="X200" s="77"/>
      <c r="Y200" s="77">
        <v>0</v>
      </c>
      <c r="Z200" s="77"/>
      <c r="AA200" s="77">
        <v>0</v>
      </c>
      <c r="AB200" s="77"/>
      <c r="AC200" s="77">
        <v>5281</v>
      </c>
      <c r="AD200" s="77"/>
      <c r="AE200" s="77">
        <v>0</v>
      </c>
      <c r="AF200" s="77"/>
      <c r="AG200" s="77">
        <v>0</v>
      </c>
      <c r="AH200" s="77"/>
      <c r="AI200" s="77">
        <f t="shared" si="6"/>
        <v>1416516</v>
      </c>
      <c r="AJ200" s="24"/>
      <c r="AK200" s="15" t="str">
        <f>'Gen Rev'!A200</f>
        <v>Enon</v>
      </c>
      <c r="AL200" s="15" t="str">
        <f t="shared" si="7"/>
        <v>Enon</v>
      </c>
      <c r="AM200" s="15" t="b">
        <f t="shared" si="8"/>
        <v>1</v>
      </c>
      <c r="AN200" s="30"/>
      <c r="AO200" s="30"/>
      <c r="AP200" s="30"/>
    </row>
    <row r="201" spans="1:42" ht="12" customHeight="1" x14ac:dyDescent="0.2">
      <c r="A201" s="15" t="s">
        <v>380</v>
      </c>
      <c r="C201" s="15" t="s">
        <v>378</v>
      </c>
      <c r="E201" s="77">
        <v>172234</v>
      </c>
      <c r="F201" s="77"/>
      <c r="G201" s="77">
        <v>12748063</v>
      </c>
      <c r="H201" s="77"/>
      <c r="I201" s="77">
        <v>1387875</v>
      </c>
      <c r="J201" s="77"/>
      <c r="K201" s="77">
        <v>0</v>
      </c>
      <c r="L201" s="77"/>
      <c r="M201" s="77">
        <v>418710</v>
      </c>
      <c r="N201" s="77"/>
      <c r="O201" s="77">
        <v>279374</v>
      </c>
      <c r="P201" s="77"/>
      <c r="Q201" s="77">
        <v>6969</v>
      </c>
      <c r="R201" s="77"/>
      <c r="S201" s="77">
        <v>0</v>
      </c>
      <c r="T201" s="77"/>
      <c r="U201" s="77">
        <v>0</v>
      </c>
      <c r="V201" s="77"/>
      <c r="W201" s="77">
        <v>0</v>
      </c>
      <c r="X201" s="77"/>
      <c r="Y201" s="77">
        <v>38383</v>
      </c>
      <c r="Z201" s="77"/>
      <c r="AA201" s="77">
        <v>3347825</v>
      </c>
      <c r="AB201" s="77"/>
      <c r="AC201" s="77">
        <v>50000</v>
      </c>
      <c r="AD201" s="77"/>
      <c r="AE201" s="77">
        <v>143722</v>
      </c>
      <c r="AF201" s="77"/>
      <c r="AG201" s="77">
        <v>0</v>
      </c>
      <c r="AH201" s="77"/>
      <c r="AI201" s="77">
        <f t="shared" si="6"/>
        <v>18593155</v>
      </c>
      <c r="AJ201" s="24"/>
      <c r="AK201" s="15" t="str">
        <f>'Gen Rev'!A201</f>
        <v>Evendale</v>
      </c>
      <c r="AL201" s="15" t="str">
        <f t="shared" si="7"/>
        <v>Evendale</v>
      </c>
      <c r="AM201" s="15" t="b">
        <f t="shared" si="8"/>
        <v>1</v>
      </c>
      <c r="AN201" s="31"/>
      <c r="AO201" s="31"/>
      <c r="AP201" s="31"/>
    </row>
    <row r="202" spans="1:42" ht="12" customHeight="1" x14ac:dyDescent="0.2">
      <c r="A202" s="1" t="s">
        <v>93</v>
      </c>
      <c r="B202" s="1"/>
      <c r="C202" s="1" t="s">
        <v>763</v>
      </c>
      <c r="E202" s="77">
        <v>130827.76</v>
      </c>
      <c r="F202" s="77"/>
      <c r="G202" s="77">
        <v>2836293.22</v>
      </c>
      <c r="H202" s="77"/>
      <c r="I202" s="77">
        <v>1200560.3999999999</v>
      </c>
      <c r="J202" s="77"/>
      <c r="K202" s="77">
        <v>0</v>
      </c>
      <c r="L202" s="77"/>
      <c r="M202" s="77">
        <v>19223.5</v>
      </c>
      <c r="N202" s="77"/>
      <c r="O202" s="77">
        <v>146184.87</v>
      </c>
      <c r="P202" s="77"/>
      <c r="Q202" s="77">
        <v>4929.75</v>
      </c>
      <c r="R202" s="77"/>
      <c r="S202" s="77">
        <v>64490.9</v>
      </c>
      <c r="T202" s="77"/>
      <c r="U202" s="77">
        <v>0</v>
      </c>
      <c r="V202" s="77"/>
      <c r="W202" s="77">
        <v>0</v>
      </c>
      <c r="X202" s="77"/>
      <c r="Y202" s="77">
        <v>0</v>
      </c>
      <c r="Z202" s="77"/>
      <c r="AA202" s="77">
        <v>447570.24</v>
      </c>
      <c r="AB202" s="77"/>
      <c r="AC202" s="77">
        <v>44030</v>
      </c>
      <c r="AD202" s="77"/>
      <c r="AE202" s="77">
        <v>718343.16</v>
      </c>
      <c r="AF202" s="77"/>
      <c r="AG202" s="77">
        <v>0</v>
      </c>
      <c r="AH202" s="77"/>
      <c r="AI202" s="77">
        <f t="shared" si="6"/>
        <v>5612453.8000000007</v>
      </c>
      <c r="AJ202" s="24"/>
      <c r="AK202" s="15" t="str">
        <f>'Gen Rev'!A202</f>
        <v>Fairfax</v>
      </c>
      <c r="AL202" s="15" t="str">
        <f t="shared" si="7"/>
        <v>Fairfax</v>
      </c>
      <c r="AM202" s="15" t="b">
        <f t="shared" si="8"/>
        <v>1</v>
      </c>
    </row>
    <row r="203" spans="1:42" s="31" customFormat="1" ht="12" customHeight="1" x14ac:dyDescent="0.2">
      <c r="A203" s="1" t="s">
        <v>429</v>
      </c>
      <c r="B203" s="1"/>
      <c r="C203" s="1" t="s">
        <v>430</v>
      </c>
      <c r="D203" s="15"/>
      <c r="E203" s="77">
        <v>587630.04</v>
      </c>
      <c r="F203" s="77"/>
      <c r="G203" s="77">
        <v>648789.76000000001</v>
      </c>
      <c r="H203" s="77"/>
      <c r="I203" s="77">
        <v>700918.61</v>
      </c>
      <c r="J203" s="77"/>
      <c r="K203" s="77">
        <v>89294.24</v>
      </c>
      <c r="L203" s="77"/>
      <c r="M203" s="77">
        <v>178045.73</v>
      </c>
      <c r="N203" s="77"/>
      <c r="O203" s="77">
        <v>104120.98</v>
      </c>
      <c r="P203" s="77"/>
      <c r="Q203" s="77">
        <v>3390.97</v>
      </c>
      <c r="R203" s="77"/>
      <c r="S203" s="77">
        <v>79059.240000000005</v>
      </c>
      <c r="T203" s="77"/>
      <c r="U203" s="77">
        <v>0</v>
      </c>
      <c r="V203" s="77"/>
      <c r="W203" s="77">
        <v>0</v>
      </c>
      <c r="X203" s="77"/>
      <c r="Y203" s="77">
        <v>0</v>
      </c>
      <c r="Z203" s="77"/>
      <c r="AA203" s="77">
        <v>135419.94</v>
      </c>
      <c r="AB203" s="77"/>
      <c r="AC203" s="77">
        <v>50330</v>
      </c>
      <c r="AD203" s="77"/>
      <c r="AE203" s="77">
        <v>0</v>
      </c>
      <c r="AF203" s="77"/>
      <c r="AG203" s="77">
        <v>0</v>
      </c>
      <c r="AH203" s="77"/>
      <c r="AI203" s="77">
        <f t="shared" si="6"/>
        <v>2576999.5100000007</v>
      </c>
      <c r="AJ203" s="24"/>
      <c r="AK203" s="15" t="str">
        <f>'Gen Rev'!A203</f>
        <v>Fairport Harbor</v>
      </c>
      <c r="AL203" s="15" t="str">
        <f t="shared" si="7"/>
        <v>Fairport Harbor</v>
      </c>
      <c r="AM203" s="15" t="b">
        <f t="shared" si="8"/>
        <v>1</v>
      </c>
      <c r="AN203" s="30"/>
      <c r="AO203" s="30"/>
      <c r="AP203" s="30"/>
    </row>
    <row r="204" spans="1:42" s="31" customFormat="1" ht="12" hidden="1" customHeight="1" x14ac:dyDescent="0.2">
      <c r="A204" s="1" t="s">
        <v>886</v>
      </c>
      <c r="B204" s="1"/>
      <c r="C204" s="1" t="s">
        <v>762</v>
      </c>
      <c r="D204" s="15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>
        <f t="shared" si="6"/>
        <v>0</v>
      </c>
      <c r="AJ204" s="37"/>
      <c r="AK204" s="15" t="str">
        <f>'Gen Rev'!A204</f>
        <v>Fairview</v>
      </c>
      <c r="AL204" s="15" t="str">
        <f t="shared" si="7"/>
        <v>Fairview</v>
      </c>
      <c r="AM204" s="15" t="b">
        <f t="shared" si="8"/>
        <v>1</v>
      </c>
      <c r="AN204" s="15"/>
      <c r="AO204" s="15"/>
      <c r="AP204" s="15"/>
    </row>
    <row r="205" spans="1:42" s="31" customFormat="1" ht="12" customHeight="1" x14ac:dyDescent="0.2">
      <c r="A205" s="1" t="s">
        <v>167</v>
      </c>
      <c r="B205" s="1"/>
      <c r="C205" s="1" t="s">
        <v>786</v>
      </c>
      <c r="D205" s="15"/>
      <c r="E205" s="77">
        <v>145526</v>
      </c>
      <c r="F205" s="77"/>
      <c r="G205" s="77">
        <v>147930.75</v>
      </c>
      <c r="H205" s="77"/>
      <c r="I205" s="77">
        <v>258811.15</v>
      </c>
      <c r="J205" s="77"/>
      <c r="K205" s="77">
        <v>24176.89</v>
      </c>
      <c r="L205" s="77"/>
      <c r="M205" s="77">
        <v>3900</v>
      </c>
      <c r="N205" s="77"/>
      <c r="O205" s="77">
        <v>5966.63</v>
      </c>
      <c r="P205" s="77"/>
      <c r="Q205" s="77">
        <v>1512.69</v>
      </c>
      <c r="R205" s="77"/>
      <c r="S205" s="77">
        <v>20773.13</v>
      </c>
      <c r="T205" s="77"/>
      <c r="U205" s="77">
        <v>0</v>
      </c>
      <c r="V205" s="77"/>
      <c r="W205" s="77">
        <v>0</v>
      </c>
      <c r="X205" s="77"/>
      <c r="Y205" s="77">
        <v>0</v>
      </c>
      <c r="Z205" s="77"/>
      <c r="AA205" s="77">
        <v>40000</v>
      </c>
      <c r="AB205" s="77"/>
      <c r="AC205" s="77">
        <v>79797.7</v>
      </c>
      <c r="AD205" s="77"/>
      <c r="AE205" s="77">
        <v>0</v>
      </c>
      <c r="AF205" s="77"/>
      <c r="AG205" s="77">
        <v>0</v>
      </c>
      <c r="AH205" s="77"/>
      <c r="AI205" s="77">
        <f t="shared" si="6"/>
        <v>728394.94</v>
      </c>
      <c r="AJ205" s="24"/>
      <c r="AK205" s="15" t="str">
        <f>'Gen Rev'!A205</f>
        <v>Farmersville</v>
      </c>
      <c r="AL205" s="15" t="str">
        <f t="shared" si="7"/>
        <v>Farmersville</v>
      </c>
      <c r="AM205" s="15" t="b">
        <f t="shared" si="8"/>
        <v>1</v>
      </c>
      <c r="AN205" s="15"/>
      <c r="AO205" s="15"/>
      <c r="AP205" s="15"/>
    </row>
    <row r="206" spans="1:42" ht="12" customHeight="1" x14ac:dyDescent="0.2">
      <c r="A206" s="15" t="s">
        <v>360</v>
      </c>
      <c r="C206" s="15" t="s">
        <v>358</v>
      </c>
      <c r="E206" s="77">
        <v>82403</v>
      </c>
      <c r="F206" s="77"/>
      <c r="G206" s="77">
        <v>310977</v>
      </c>
      <c r="H206" s="77"/>
      <c r="I206" s="77">
        <v>395943</v>
      </c>
      <c r="J206" s="77"/>
      <c r="K206" s="77">
        <v>0</v>
      </c>
      <c r="L206" s="77"/>
      <c r="M206" s="77">
        <v>12714</v>
      </c>
      <c r="N206" s="77"/>
      <c r="O206" s="77">
        <v>6421</v>
      </c>
      <c r="P206" s="77"/>
      <c r="Q206" s="77">
        <v>4046</v>
      </c>
      <c r="R206" s="77"/>
      <c r="S206" s="77">
        <v>45450</v>
      </c>
      <c r="T206" s="77"/>
      <c r="U206" s="77">
        <v>0</v>
      </c>
      <c r="V206" s="77"/>
      <c r="W206" s="77">
        <v>0</v>
      </c>
      <c r="X206" s="77"/>
      <c r="Y206" s="77">
        <v>275</v>
      </c>
      <c r="Z206" s="77"/>
      <c r="AA206" s="77">
        <v>0</v>
      </c>
      <c r="AB206" s="77"/>
      <c r="AC206" s="77">
        <v>0</v>
      </c>
      <c r="AD206" s="77"/>
      <c r="AE206" s="77">
        <v>0</v>
      </c>
      <c r="AF206" s="77"/>
      <c r="AG206" s="77">
        <v>0</v>
      </c>
      <c r="AH206" s="77"/>
      <c r="AI206" s="77">
        <f t="shared" si="6"/>
        <v>858229</v>
      </c>
      <c r="AJ206" s="24"/>
      <c r="AK206" s="15" t="str">
        <f>'Gen Rev'!A206</f>
        <v>Fayette</v>
      </c>
      <c r="AL206" s="15" t="str">
        <f t="shared" si="7"/>
        <v>Fayette</v>
      </c>
      <c r="AM206" s="15" t="b">
        <f t="shared" si="8"/>
        <v>1</v>
      </c>
      <c r="AN206" s="31"/>
      <c r="AO206" s="31"/>
      <c r="AP206" s="31"/>
    </row>
    <row r="207" spans="1:42" ht="12" customHeight="1" x14ac:dyDescent="0.2">
      <c r="A207" s="1" t="s">
        <v>21</v>
      </c>
      <c r="B207" s="1"/>
      <c r="C207" s="1" t="s">
        <v>742</v>
      </c>
      <c r="E207" s="77">
        <v>63414.93</v>
      </c>
      <c r="F207" s="77"/>
      <c r="G207" s="77">
        <v>0</v>
      </c>
      <c r="H207" s="77"/>
      <c r="I207" s="77">
        <v>33266.47</v>
      </c>
      <c r="J207" s="77"/>
      <c r="K207" s="77">
        <v>0</v>
      </c>
      <c r="L207" s="77"/>
      <c r="M207" s="77">
        <v>3075</v>
      </c>
      <c r="N207" s="77"/>
      <c r="O207" s="77">
        <v>70559.13</v>
      </c>
      <c r="P207" s="77"/>
      <c r="Q207" s="77">
        <v>1531.3</v>
      </c>
      <c r="R207" s="77"/>
      <c r="S207" s="77">
        <v>1886.37</v>
      </c>
      <c r="T207" s="77"/>
      <c r="U207" s="77">
        <v>0</v>
      </c>
      <c r="V207" s="77"/>
      <c r="W207" s="77">
        <v>8327</v>
      </c>
      <c r="X207" s="77"/>
      <c r="Y207" s="77">
        <v>0</v>
      </c>
      <c r="Z207" s="77"/>
      <c r="AA207" s="77">
        <v>0</v>
      </c>
      <c r="AB207" s="77"/>
      <c r="AC207" s="77">
        <v>0</v>
      </c>
      <c r="AD207" s="77"/>
      <c r="AE207" s="77">
        <v>9520</v>
      </c>
      <c r="AF207" s="77"/>
      <c r="AG207" s="77">
        <v>0</v>
      </c>
      <c r="AH207" s="77"/>
      <c r="AI207" s="77">
        <f t="shared" ref="AI207:AI273" si="9">SUM(E207:AG207)</f>
        <v>191580.19999999998</v>
      </c>
      <c r="AJ207" s="24"/>
      <c r="AK207" s="15" t="str">
        <f>'Gen Rev'!A207</f>
        <v>Fayetteville</v>
      </c>
      <c r="AL207" s="15" t="str">
        <f t="shared" ref="AL207:AL273" si="10">A207</f>
        <v>Fayetteville</v>
      </c>
      <c r="AM207" s="15" t="b">
        <f t="shared" ref="AM207:AM273" si="11">AK207=AL207</f>
        <v>1</v>
      </c>
    </row>
    <row r="208" spans="1:42" s="31" customFormat="1" ht="12" hidden="1" customHeight="1" x14ac:dyDescent="0.2">
      <c r="A208" s="1" t="s">
        <v>297</v>
      </c>
      <c r="B208" s="1"/>
      <c r="C208" s="1" t="s">
        <v>295</v>
      </c>
      <c r="D208" s="15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>
        <f t="shared" si="9"/>
        <v>0</v>
      </c>
      <c r="AJ208" s="24"/>
      <c r="AK208" s="15" t="str">
        <f>'Gen Rev'!A208</f>
        <v>Felicity</v>
      </c>
      <c r="AL208" s="15" t="str">
        <f t="shared" si="10"/>
        <v>Felicity</v>
      </c>
      <c r="AM208" s="15" t="b">
        <f t="shared" si="11"/>
        <v>1</v>
      </c>
      <c r="AN208" s="15"/>
      <c r="AO208" s="15"/>
      <c r="AP208" s="15"/>
    </row>
    <row r="209" spans="1:42" ht="12" customHeight="1" x14ac:dyDescent="0.2">
      <c r="A209" s="15" t="s">
        <v>921</v>
      </c>
      <c r="C209" s="1" t="s">
        <v>470</v>
      </c>
      <c r="E209" s="77">
        <v>26116.13</v>
      </c>
      <c r="F209" s="77"/>
      <c r="G209" s="77">
        <v>0</v>
      </c>
      <c r="H209" s="77"/>
      <c r="I209" s="77">
        <v>40871.01</v>
      </c>
      <c r="J209" s="77"/>
      <c r="K209" s="77">
        <v>10065.040000000001</v>
      </c>
      <c r="L209" s="77"/>
      <c r="M209" s="77">
        <v>0</v>
      </c>
      <c r="N209" s="77"/>
      <c r="O209" s="77">
        <v>100</v>
      </c>
      <c r="P209" s="77"/>
      <c r="Q209" s="77">
        <v>80.48</v>
      </c>
      <c r="R209" s="77"/>
      <c r="S209" s="77">
        <v>0</v>
      </c>
      <c r="T209" s="77"/>
      <c r="U209" s="77">
        <v>0</v>
      </c>
      <c r="V209" s="77"/>
      <c r="W209" s="77">
        <v>0</v>
      </c>
      <c r="X209" s="77"/>
      <c r="Y209" s="77">
        <v>0</v>
      </c>
      <c r="Z209" s="77"/>
      <c r="AA209" s="77">
        <v>0</v>
      </c>
      <c r="AB209" s="77"/>
      <c r="AC209" s="77">
        <v>0</v>
      </c>
      <c r="AD209" s="77"/>
      <c r="AE209" s="77">
        <v>0</v>
      </c>
      <c r="AF209" s="77"/>
      <c r="AG209" s="77">
        <v>0</v>
      </c>
      <c r="AH209" s="77"/>
      <c r="AI209" s="77">
        <f t="shared" si="9"/>
        <v>77232.659999999989</v>
      </c>
      <c r="AJ209" s="24"/>
      <c r="AK209" s="15" t="str">
        <f>'Gen Rev'!A209</f>
        <v>Fletcher</v>
      </c>
      <c r="AL209" s="15" t="str">
        <f t="shared" si="10"/>
        <v>Fletcher</v>
      </c>
      <c r="AM209" s="15" t="b">
        <f t="shared" si="11"/>
        <v>1</v>
      </c>
      <c r="AN209" s="30"/>
      <c r="AO209" s="30"/>
      <c r="AP209" s="30"/>
    </row>
    <row r="210" spans="1:42" ht="12" customHeight="1" x14ac:dyDescent="0.2">
      <c r="A210" s="1" t="s">
        <v>105</v>
      </c>
      <c r="B210" s="1"/>
      <c r="C210" s="1" t="s">
        <v>766</v>
      </c>
      <c r="E210" s="77">
        <v>34280.65</v>
      </c>
      <c r="F210" s="77"/>
      <c r="G210" s="77">
        <v>0</v>
      </c>
      <c r="H210" s="77"/>
      <c r="I210" s="77">
        <v>19377.91</v>
      </c>
      <c r="J210" s="77"/>
      <c r="K210" s="77">
        <v>0</v>
      </c>
      <c r="L210" s="77"/>
      <c r="M210" s="77">
        <v>0</v>
      </c>
      <c r="N210" s="77"/>
      <c r="O210" s="77">
        <v>0</v>
      </c>
      <c r="P210" s="77"/>
      <c r="Q210" s="77">
        <v>465.39</v>
      </c>
      <c r="R210" s="77"/>
      <c r="S210" s="77">
        <v>3290.86</v>
      </c>
      <c r="T210" s="77"/>
      <c r="U210" s="77">
        <v>0</v>
      </c>
      <c r="V210" s="77"/>
      <c r="W210" s="77">
        <v>0</v>
      </c>
      <c r="X210" s="77"/>
      <c r="Y210" s="77">
        <v>0</v>
      </c>
      <c r="Z210" s="77"/>
      <c r="AA210" s="77">
        <v>0</v>
      </c>
      <c r="AB210" s="77"/>
      <c r="AC210" s="77">
        <v>0</v>
      </c>
      <c r="AD210" s="77"/>
      <c r="AE210" s="77">
        <v>0</v>
      </c>
      <c r="AF210" s="77"/>
      <c r="AG210" s="77">
        <v>0</v>
      </c>
      <c r="AH210" s="77"/>
      <c r="AI210" s="77">
        <f t="shared" si="9"/>
        <v>57414.81</v>
      </c>
      <c r="AJ210" s="24"/>
      <c r="AK210" s="15" t="str">
        <f>'Gen Rev'!A210</f>
        <v>Florida</v>
      </c>
      <c r="AL210" s="15" t="str">
        <f t="shared" si="10"/>
        <v>Florida</v>
      </c>
      <c r="AM210" s="15" t="b">
        <f t="shared" si="11"/>
        <v>1</v>
      </c>
    </row>
    <row r="211" spans="1:42" ht="12" customHeight="1" x14ac:dyDescent="0.2">
      <c r="A211" s="1" t="s">
        <v>922</v>
      </c>
      <c r="B211" s="1"/>
      <c r="C211" s="1" t="s">
        <v>741</v>
      </c>
      <c r="E211" s="77">
        <v>90618.33</v>
      </c>
      <c r="F211" s="77"/>
      <c r="G211" s="77">
        <v>0</v>
      </c>
      <c r="H211" s="77"/>
      <c r="I211" s="77">
        <v>109130.07</v>
      </c>
      <c r="J211" s="77"/>
      <c r="K211" s="77">
        <v>0</v>
      </c>
      <c r="L211" s="77"/>
      <c r="M211" s="77">
        <v>0</v>
      </c>
      <c r="N211" s="77"/>
      <c r="O211" s="77">
        <v>0</v>
      </c>
      <c r="P211" s="77"/>
      <c r="Q211" s="77">
        <v>11182.24</v>
      </c>
      <c r="R211" s="77"/>
      <c r="S211" s="77">
        <v>237286.62</v>
      </c>
      <c r="T211" s="77"/>
      <c r="U211" s="77">
        <v>0</v>
      </c>
      <c r="V211" s="77"/>
      <c r="W211" s="77">
        <v>0</v>
      </c>
      <c r="X211" s="77"/>
      <c r="Y211" s="77">
        <v>0</v>
      </c>
      <c r="Z211" s="77"/>
      <c r="AA211" s="77">
        <v>0</v>
      </c>
      <c r="AB211" s="77"/>
      <c r="AC211" s="77">
        <v>0</v>
      </c>
      <c r="AD211" s="77"/>
      <c r="AE211" s="77">
        <v>0</v>
      </c>
      <c r="AF211" s="77"/>
      <c r="AG211" s="77">
        <v>0</v>
      </c>
      <c r="AH211" s="77"/>
      <c r="AI211" s="77">
        <f t="shared" si="9"/>
        <v>448217.26</v>
      </c>
      <c r="AJ211" s="24"/>
      <c r="AK211" s="15" t="str">
        <f>'Gen Rev'!A211</f>
        <v>Flushing</v>
      </c>
      <c r="AL211" s="15" t="str">
        <f t="shared" si="10"/>
        <v>Flushing</v>
      </c>
      <c r="AM211" s="15" t="b">
        <f t="shared" si="11"/>
        <v>1</v>
      </c>
    </row>
    <row r="212" spans="1:42" s="31" customFormat="1" ht="12" customHeight="1" x14ac:dyDescent="0.2">
      <c r="A212" s="15" t="s">
        <v>398</v>
      </c>
      <c r="B212" s="15"/>
      <c r="C212" s="15" t="s">
        <v>396</v>
      </c>
      <c r="D212" s="15"/>
      <c r="E212" s="77">
        <v>27995</v>
      </c>
      <c r="F212" s="77"/>
      <c r="G212" s="77">
        <v>275569</v>
      </c>
      <c r="H212" s="77"/>
      <c r="I212" s="77">
        <v>99024</v>
      </c>
      <c r="J212" s="77"/>
      <c r="K212" s="77">
        <v>0</v>
      </c>
      <c r="L212" s="77"/>
      <c r="M212" s="77">
        <v>79981</v>
      </c>
      <c r="N212" s="77"/>
      <c r="O212" s="77">
        <v>4884</v>
      </c>
      <c r="P212" s="77"/>
      <c r="Q212" s="77">
        <v>2509</v>
      </c>
      <c r="R212" s="77"/>
      <c r="S212" s="77">
        <v>65942</v>
      </c>
      <c r="T212" s="77"/>
      <c r="U212" s="77">
        <v>0</v>
      </c>
      <c r="V212" s="77"/>
      <c r="W212" s="77">
        <v>0</v>
      </c>
      <c r="X212" s="77"/>
      <c r="Y212" s="77">
        <v>0</v>
      </c>
      <c r="Z212" s="77"/>
      <c r="AA212" s="77">
        <v>77126</v>
      </c>
      <c r="AB212" s="77"/>
      <c r="AC212" s="77">
        <v>0</v>
      </c>
      <c r="AD212" s="77"/>
      <c r="AE212" s="77">
        <v>0</v>
      </c>
      <c r="AF212" s="77"/>
      <c r="AG212" s="77">
        <v>0</v>
      </c>
      <c r="AH212" s="77"/>
      <c r="AI212" s="77">
        <f t="shared" si="9"/>
        <v>633030</v>
      </c>
      <c r="AJ212" s="24"/>
      <c r="AK212" s="15" t="str">
        <f>'Gen Rev'!A212</f>
        <v>Forest</v>
      </c>
      <c r="AL212" s="15" t="str">
        <f t="shared" si="10"/>
        <v>Forest</v>
      </c>
      <c r="AM212" s="15" t="b">
        <f t="shared" si="11"/>
        <v>1</v>
      </c>
      <c r="AN212" s="15"/>
      <c r="AO212" s="15"/>
      <c r="AP212" s="15"/>
    </row>
    <row r="213" spans="1:42" s="31" customFormat="1" ht="12" customHeight="1" x14ac:dyDescent="0.2">
      <c r="A213" s="1" t="s">
        <v>204</v>
      </c>
      <c r="B213" s="1"/>
      <c r="C213" s="1" t="s">
        <v>797</v>
      </c>
      <c r="D213" s="15"/>
      <c r="E213" s="77">
        <v>18230.05</v>
      </c>
      <c r="F213" s="77"/>
      <c r="G213" s="77">
        <v>76734.27</v>
      </c>
      <c r="H213" s="77"/>
      <c r="I213" s="77">
        <v>50997.27</v>
      </c>
      <c r="J213" s="77"/>
      <c r="K213" s="77">
        <v>0</v>
      </c>
      <c r="L213" s="77"/>
      <c r="M213" s="77">
        <v>10638.45</v>
      </c>
      <c r="N213" s="77"/>
      <c r="O213" s="77">
        <v>460</v>
      </c>
      <c r="P213" s="77"/>
      <c r="Q213" s="77">
        <v>2315.54</v>
      </c>
      <c r="R213" s="77"/>
      <c r="S213" s="77">
        <v>55126.86</v>
      </c>
      <c r="T213" s="77"/>
      <c r="U213" s="77">
        <v>0</v>
      </c>
      <c r="V213" s="77"/>
      <c r="W213" s="77">
        <v>0</v>
      </c>
      <c r="X213" s="77"/>
      <c r="Y213" s="77">
        <v>0</v>
      </c>
      <c r="Z213" s="77"/>
      <c r="AA213" s="77">
        <v>4000</v>
      </c>
      <c r="AB213" s="77"/>
      <c r="AC213" s="77">
        <v>0</v>
      </c>
      <c r="AD213" s="77"/>
      <c r="AE213" s="77">
        <v>0</v>
      </c>
      <c r="AF213" s="77"/>
      <c r="AG213" s="77">
        <v>0</v>
      </c>
      <c r="AH213" s="77"/>
      <c r="AI213" s="77">
        <f t="shared" si="9"/>
        <v>218502.44</v>
      </c>
      <c r="AJ213" s="24"/>
      <c r="AK213" s="15" t="str">
        <f>'Gen Rev'!A213</f>
        <v>Fort Jennings</v>
      </c>
      <c r="AL213" s="15" t="str">
        <f t="shared" si="10"/>
        <v>Fort Jennings</v>
      </c>
      <c r="AM213" s="15" t="b">
        <f t="shared" si="11"/>
        <v>1</v>
      </c>
      <c r="AN213" s="15"/>
      <c r="AO213" s="15"/>
      <c r="AP213" s="15"/>
    </row>
    <row r="214" spans="1:42" ht="12" customHeight="1" x14ac:dyDescent="0.2">
      <c r="A214" s="1" t="s">
        <v>222</v>
      </c>
      <c r="B214" s="1"/>
      <c r="C214" s="1" t="s">
        <v>803</v>
      </c>
      <c r="E214" s="77">
        <v>118573.15</v>
      </c>
      <c r="F214" s="77"/>
      <c r="G214" s="77">
        <v>1094456.3799999999</v>
      </c>
      <c r="H214" s="77"/>
      <c r="I214" s="77">
        <v>320423.55</v>
      </c>
      <c r="J214" s="77"/>
      <c r="K214" s="77">
        <v>17745.080000000002</v>
      </c>
      <c r="L214" s="77"/>
      <c r="M214" s="77">
        <v>476</v>
      </c>
      <c r="N214" s="77"/>
      <c r="O214" s="77">
        <v>750</v>
      </c>
      <c r="P214" s="77"/>
      <c r="Q214" s="77">
        <v>0</v>
      </c>
      <c r="R214" s="77"/>
      <c r="S214" s="77">
        <v>14433.69</v>
      </c>
      <c r="T214" s="77"/>
      <c r="U214" s="77">
        <v>0</v>
      </c>
      <c r="V214" s="77"/>
      <c r="W214" s="77">
        <v>0</v>
      </c>
      <c r="X214" s="77"/>
      <c r="Y214" s="77">
        <v>0</v>
      </c>
      <c r="Z214" s="77"/>
      <c r="AA214" s="77">
        <v>0</v>
      </c>
      <c r="AB214" s="77"/>
      <c r="AC214" s="77">
        <v>0</v>
      </c>
      <c r="AD214" s="77"/>
      <c r="AE214" s="77">
        <v>0</v>
      </c>
      <c r="AF214" s="77"/>
      <c r="AG214" s="77">
        <v>0</v>
      </c>
      <c r="AH214" s="77"/>
      <c r="AI214" s="77">
        <f t="shared" si="9"/>
        <v>1566857.8499999999</v>
      </c>
      <c r="AJ214" s="24"/>
      <c r="AK214" s="15" t="str">
        <f>'Gen Rev'!A214</f>
        <v>Fort Loramie</v>
      </c>
      <c r="AL214" s="15" t="str">
        <f t="shared" si="10"/>
        <v>Fort Loramie</v>
      </c>
      <c r="AM214" s="15" t="b">
        <f t="shared" si="11"/>
        <v>1</v>
      </c>
      <c r="AN214" s="30"/>
      <c r="AO214" s="30"/>
      <c r="AP214" s="30"/>
    </row>
    <row r="215" spans="1:42" ht="12" customHeight="1" x14ac:dyDescent="0.2">
      <c r="A215" s="15" t="s">
        <v>467</v>
      </c>
      <c r="C215" s="15" t="s">
        <v>466</v>
      </c>
      <c r="E215" s="77">
        <v>236003</v>
      </c>
      <c r="F215" s="77"/>
      <c r="G215" s="77">
        <v>796931</v>
      </c>
      <c r="H215" s="77"/>
      <c r="I215" s="77">
        <v>246641</v>
      </c>
      <c r="J215" s="77"/>
      <c r="K215" s="77">
        <v>36864</v>
      </c>
      <c r="L215" s="77"/>
      <c r="M215" s="77">
        <v>53434</v>
      </c>
      <c r="N215" s="77"/>
      <c r="O215" s="77">
        <v>1547</v>
      </c>
      <c r="P215" s="77"/>
      <c r="Q215" s="77">
        <v>7479</v>
      </c>
      <c r="R215" s="77"/>
      <c r="S215" s="77">
        <v>52066</v>
      </c>
      <c r="T215" s="77"/>
      <c r="U215" s="77">
        <v>0</v>
      </c>
      <c r="V215" s="77"/>
      <c r="W215" s="77">
        <v>0</v>
      </c>
      <c r="X215" s="77"/>
      <c r="Y215" s="77">
        <v>0</v>
      </c>
      <c r="Z215" s="77"/>
      <c r="AA215" s="77">
        <v>59232</v>
      </c>
      <c r="AB215" s="77"/>
      <c r="AC215" s="77">
        <v>0</v>
      </c>
      <c r="AD215" s="77"/>
      <c r="AE215" s="77">
        <v>0</v>
      </c>
      <c r="AF215" s="77"/>
      <c r="AG215" s="77">
        <v>0</v>
      </c>
      <c r="AH215" s="77"/>
      <c r="AI215" s="77">
        <f t="shared" si="9"/>
        <v>1490197</v>
      </c>
      <c r="AJ215" s="24"/>
      <c r="AK215" s="15" t="str">
        <f>'Gen Rev'!A215</f>
        <v>Fort Recovery</v>
      </c>
      <c r="AL215" s="15" t="str">
        <f t="shared" si="10"/>
        <v>Fort Recovery</v>
      </c>
      <c r="AM215" s="15" t="b">
        <f t="shared" si="11"/>
        <v>1</v>
      </c>
    </row>
    <row r="216" spans="1:42" ht="12" customHeight="1" x14ac:dyDescent="0.2">
      <c r="A216" s="1" t="s">
        <v>923</v>
      </c>
      <c r="B216" s="1"/>
      <c r="C216" s="1" t="s">
        <v>703</v>
      </c>
      <c r="E216" s="77">
        <v>155502.31</v>
      </c>
      <c r="F216" s="77"/>
      <c r="G216" s="77">
        <v>0</v>
      </c>
      <c r="H216" s="77"/>
      <c r="I216" s="77">
        <v>293956.46999999997</v>
      </c>
      <c r="J216" s="77"/>
      <c r="K216" s="77">
        <v>0</v>
      </c>
      <c r="L216" s="77"/>
      <c r="M216" s="77">
        <v>13120</v>
      </c>
      <c r="N216" s="77"/>
      <c r="O216" s="77">
        <v>101843.13</v>
      </c>
      <c r="P216" s="77"/>
      <c r="Q216" s="77">
        <v>498.12</v>
      </c>
      <c r="R216" s="77"/>
      <c r="S216" s="77">
        <v>12955.85</v>
      </c>
      <c r="T216" s="77"/>
      <c r="U216" s="77">
        <v>0</v>
      </c>
      <c r="V216" s="77"/>
      <c r="W216" s="77">
        <v>0</v>
      </c>
      <c r="X216" s="77"/>
      <c r="Y216" s="77">
        <v>0</v>
      </c>
      <c r="Z216" s="77"/>
      <c r="AA216" s="77">
        <v>4825.8</v>
      </c>
      <c r="AB216" s="77"/>
      <c r="AC216" s="77">
        <v>0</v>
      </c>
      <c r="AD216" s="77"/>
      <c r="AE216" s="77">
        <v>0</v>
      </c>
      <c r="AF216" s="77"/>
      <c r="AG216" s="77">
        <v>0</v>
      </c>
      <c r="AH216" s="77"/>
      <c r="AI216" s="77">
        <f t="shared" si="9"/>
        <v>582701.67999999993</v>
      </c>
      <c r="AJ216" s="24"/>
      <c r="AK216" s="15" t="str">
        <f>'Gen Rev'!A216</f>
        <v>Fort Shawnee</v>
      </c>
      <c r="AL216" s="15" t="str">
        <f t="shared" si="10"/>
        <v>Fort Shawnee</v>
      </c>
      <c r="AM216" s="15" t="b">
        <f t="shared" si="11"/>
        <v>1</v>
      </c>
      <c r="AN216" s="31"/>
      <c r="AO216" s="31"/>
      <c r="AP216" s="31"/>
    </row>
    <row r="217" spans="1:42" ht="12" customHeight="1" x14ac:dyDescent="0.2">
      <c r="A217" s="1" t="s">
        <v>212</v>
      </c>
      <c r="B217" s="1"/>
      <c r="C217" s="1" t="s">
        <v>799</v>
      </c>
      <c r="E217" s="77">
        <v>49069.47</v>
      </c>
      <c r="F217" s="77"/>
      <c r="G217" s="77">
        <v>0</v>
      </c>
      <c r="H217" s="77"/>
      <c r="I217" s="77">
        <v>95078.399999999994</v>
      </c>
      <c r="J217" s="77"/>
      <c r="K217" s="77">
        <v>0</v>
      </c>
      <c r="L217" s="77"/>
      <c r="M217" s="77">
        <v>0</v>
      </c>
      <c r="N217" s="77"/>
      <c r="O217" s="77">
        <v>23568.81</v>
      </c>
      <c r="P217" s="77"/>
      <c r="Q217" s="77">
        <v>3603.16</v>
      </c>
      <c r="R217" s="77"/>
      <c r="S217" s="77">
        <v>50</v>
      </c>
      <c r="T217" s="77"/>
      <c r="U217" s="77">
        <v>0</v>
      </c>
      <c r="V217" s="77"/>
      <c r="W217" s="77">
        <v>0</v>
      </c>
      <c r="X217" s="77"/>
      <c r="Y217" s="77">
        <v>0</v>
      </c>
      <c r="Z217" s="77"/>
      <c r="AA217" s="77">
        <v>0</v>
      </c>
      <c r="AB217" s="77"/>
      <c r="AC217" s="77">
        <v>0</v>
      </c>
      <c r="AD217" s="77"/>
      <c r="AE217" s="77">
        <v>9891.34</v>
      </c>
      <c r="AF217" s="77"/>
      <c r="AG217" s="77">
        <v>0</v>
      </c>
      <c r="AH217" s="77"/>
      <c r="AI217" s="77">
        <f t="shared" si="9"/>
        <v>181261.18</v>
      </c>
      <c r="AJ217" s="24"/>
      <c r="AK217" s="15" t="str">
        <f>'Gen Rev'!A217</f>
        <v>Frankfort</v>
      </c>
      <c r="AL217" s="15" t="str">
        <f t="shared" si="10"/>
        <v>Frankfort</v>
      </c>
      <c r="AM217" s="15" t="b">
        <f t="shared" si="11"/>
        <v>1</v>
      </c>
    </row>
    <row r="218" spans="1:42" ht="12" customHeight="1" x14ac:dyDescent="0.2">
      <c r="A218" s="1" t="s">
        <v>175</v>
      </c>
      <c r="B218" s="1"/>
      <c r="C218" s="1" t="s">
        <v>789</v>
      </c>
      <c r="E218" s="77">
        <v>106144.44</v>
      </c>
      <c r="F218" s="77"/>
      <c r="G218" s="77">
        <v>123383.32</v>
      </c>
      <c r="H218" s="77"/>
      <c r="I218" s="77">
        <v>149451.65</v>
      </c>
      <c r="J218" s="77"/>
      <c r="K218" s="77">
        <v>0</v>
      </c>
      <c r="L218" s="77"/>
      <c r="M218" s="77">
        <v>27068.33</v>
      </c>
      <c r="N218" s="77"/>
      <c r="O218" s="77">
        <v>10722.86</v>
      </c>
      <c r="P218" s="77"/>
      <c r="Q218" s="77">
        <v>904.5</v>
      </c>
      <c r="R218" s="77"/>
      <c r="S218" s="77">
        <v>25231.13</v>
      </c>
      <c r="T218" s="77"/>
      <c r="U218" s="77">
        <v>0</v>
      </c>
      <c r="V218" s="77"/>
      <c r="W218" s="77">
        <v>0</v>
      </c>
      <c r="X218" s="77"/>
      <c r="Y218" s="77">
        <v>554</v>
      </c>
      <c r="Z218" s="77"/>
      <c r="AA218" s="77">
        <v>33754.04</v>
      </c>
      <c r="AB218" s="77"/>
      <c r="AC218" s="77">
        <v>0</v>
      </c>
      <c r="AD218" s="77"/>
      <c r="AE218" s="77">
        <v>535.29999999999995</v>
      </c>
      <c r="AF218" s="77"/>
      <c r="AG218" s="77">
        <v>0</v>
      </c>
      <c r="AH218" s="77"/>
      <c r="AI218" s="77">
        <f t="shared" si="9"/>
        <v>477749.57</v>
      </c>
      <c r="AJ218" s="24"/>
      <c r="AK218" s="15" t="str">
        <f>'Gen Rev'!A218</f>
        <v>Frazeysburg</v>
      </c>
      <c r="AL218" s="15" t="str">
        <f t="shared" si="10"/>
        <v>Frazeysburg</v>
      </c>
      <c r="AM218" s="15" t="b">
        <f t="shared" si="11"/>
        <v>1</v>
      </c>
    </row>
    <row r="219" spans="1:42" ht="12" customHeight="1" x14ac:dyDescent="0.2">
      <c r="A219" s="15" t="s">
        <v>593</v>
      </c>
      <c r="C219" s="15" t="s">
        <v>588</v>
      </c>
      <c r="E219" s="77">
        <v>36980</v>
      </c>
      <c r="F219" s="77"/>
      <c r="G219" s="77">
        <v>65213</v>
      </c>
      <c r="H219" s="77"/>
      <c r="I219" s="77">
        <v>37174</v>
      </c>
      <c r="J219" s="77"/>
      <c r="K219" s="77">
        <v>0</v>
      </c>
      <c r="L219" s="77"/>
      <c r="M219" s="77">
        <v>0</v>
      </c>
      <c r="N219" s="77"/>
      <c r="O219" s="77">
        <v>0</v>
      </c>
      <c r="P219" s="77"/>
      <c r="Q219" s="77">
        <v>531</v>
      </c>
      <c r="R219" s="77"/>
      <c r="S219" s="77">
        <v>11389</v>
      </c>
      <c r="T219" s="77"/>
      <c r="U219" s="77">
        <v>0</v>
      </c>
      <c r="V219" s="77"/>
      <c r="W219" s="77">
        <v>0</v>
      </c>
      <c r="X219" s="77"/>
      <c r="Y219" s="77">
        <v>0</v>
      </c>
      <c r="Z219" s="77"/>
      <c r="AA219" s="77">
        <v>0</v>
      </c>
      <c r="AB219" s="77"/>
      <c r="AC219" s="77">
        <v>0</v>
      </c>
      <c r="AD219" s="77"/>
      <c r="AE219" s="77">
        <v>0</v>
      </c>
      <c r="AF219" s="77"/>
      <c r="AG219" s="77">
        <v>0</v>
      </c>
      <c r="AH219" s="77"/>
      <c r="AI219" s="77">
        <f t="shared" si="9"/>
        <v>151287</v>
      </c>
      <c r="AJ219" s="24"/>
      <c r="AK219" s="15" t="str">
        <f>'Gen Rev'!A219</f>
        <v>Fredericksburg</v>
      </c>
      <c r="AL219" s="15" t="str">
        <f t="shared" si="10"/>
        <v>Fredericksburg</v>
      </c>
      <c r="AM219" s="15" t="b">
        <f t="shared" si="11"/>
        <v>1</v>
      </c>
    </row>
    <row r="220" spans="1:42" ht="12" customHeight="1" x14ac:dyDescent="0.2">
      <c r="A220" s="1" t="s">
        <v>428</v>
      </c>
      <c r="B220" s="1"/>
      <c r="C220" s="1" t="s">
        <v>427</v>
      </c>
      <c r="E220" s="77">
        <v>146342.22</v>
      </c>
      <c r="F220" s="77"/>
      <c r="G220" s="77">
        <v>441633.45</v>
      </c>
      <c r="H220" s="77"/>
      <c r="I220" s="77">
        <v>183101.25</v>
      </c>
      <c r="J220" s="77"/>
      <c r="K220" s="77">
        <v>1010.04</v>
      </c>
      <c r="L220" s="77"/>
      <c r="M220" s="77">
        <v>9087.5</v>
      </c>
      <c r="N220" s="77"/>
      <c r="O220" s="77">
        <v>32245.33</v>
      </c>
      <c r="P220" s="77"/>
      <c r="Q220" s="77">
        <v>630.49</v>
      </c>
      <c r="R220" s="77"/>
      <c r="S220" s="77">
        <v>6607.61</v>
      </c>
      <c r="T220" s="77"/>
      <c r="U220" s="77">
        <v>0</v>
      </c>
      <c r="V220" s="77"/>
      <c r="W220" s="77">
        <v>0</v>
      </c>
      <c r="X220" s="77"/>
      <c r="Y220" s="77">
        <v>0</v>
      </c>
      <c r="Z220" s="77"/>
      <c r="AA220" s="77">
        <v>0</v>
      </c>
      <c r="AB220" s="77"/>
      <c r="AC220" s="77">
        <v>0</v>
      </c>
      <c r="AD220" s="77"/>
      <c r="AE220" s="77">
        <v>0</v>
      </c>
      <c r="AF220" s="77"/>
      <c r="AG220" s="77">
        <f>10679+4660.22</f>
        <v>15339.220000000001</v>
      </c>
      <c r="AH220" s="77"/>
      <c r="AI220" s="77">
        <f t="shared" si="9"/>
        <v>835997.11</v>
      </c>
      <c r="AJ220" s="24"/>
      <c r="AK220" s="15" t="str">
        <f>'Gen Rev'!A220</f>
        <v>Fredericktown</v>
      </c>
      <c r="AL220" s="15" t="str">
        <f t="shared" si="10"/>
        <v>Fredericktown</v>
      </c>
      <c r="AM220" s="15" t="b">
        <f t="shared" si="11"/>
        <v>1</v>
      </c>
      <c r="AN220" s="31"/>
      <c r="AO220" s="31"/>
      <c r="AP220" s="31"/>
    </row>
    <row r="221" spans="1:42" ht="12" hidden="1" customHeight="1" x14ac:dyDescent="0.2">
      <c r="A221" s="1" t="s">
        <v>405</v>
      </c>
      <c r="B221" s="1"/>
      <c r="C221" s="1" t="s">
        <v>403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>
        <f t="shared" si="9"/>
        <v>0</v>
      </c>
      <c r="AJ221" s="24"/>
      <c r="AK221" s="15" t="str">
        <f>'Gen Rev'!A221</f>
        <v>Freeport</v>
      </c>
      <c r="AL221" s="15" t="str">
        <f t="shared" si="10"/>
        <v>Freeport</v>
      </c>
      <c r="AM221" s="15" t="b">
        <f t="shared" si="11"/>
        <v>1</v>
      </c>
    </row>
    <row r="222" spans="1:42" s="31" customFormat="1" ht="12" customHeight="1" x14ac:dyDescent="0.2">
      <c r="A222" s="1" t="s">
        <v>358</v>
      </c>
      <c r="B222" s="1"/>
      <c r="C222" s="1" t="s">
        <v>243</v>
      </c>
      <c r="D222" s="15"/>
      <c r="E222" s="77">
        <v>9344.74</v>
      </c>
      <c r="F222" s="77"/>
      <c r="G222" s="77">
        <v>0</v>
      </c>
      <c r="H222" s="77"/>
      <c r="I222" s="77">
        <v>27110.7</v>
      </c>
      <c r="J222" s="77"/>
      <c r="K222" s="77">
        <v>0</v>
      </c>
      <c r="L222" s="77"/>
      <c r="M222" s="77">
        <v>0</v>
      </c>
      <c r="N222" s="77"/>
      <c r="O222" s="77">
        <v>2244.34</v>
      </c>
      <c r="P222" s="77"/>
      <c r="Q222" s="77">
        <v>34.01</v>
      </c>
      <c r="R222" s="77"/>
      <c r="S222" s="77">
        <v>3045.72</v>
      </c>
      <c r="T222" s="77"/>
      <c r="U222" s="77">
        <v>0</v>
      </c>
      <c r="V222" s="77"/>
      <c r="W222" s="77">
        <v>0</v>
      </c>
      <c r="X222" s="77"/>
      <c r="Y222" s="77">
        <v>0</v>
      </c>
      <c r="Z222" s="77"/>
      <c r="AA222" s="77">
        <v>0</v>
      </c>
      <c r="AB222" s="77"/>
      <c r="AC222" s="77">
        <v>0</v>
      </c>
      <c r="AD222" s="77"/>
      <c r="AE222" s="77">
        <v>0</v>
      </c>
      <c r="AF222" s="77"/>
      <c r="AG222" s="77">
        <v>0</v>
      </c>
      <c r="AH222" s="77"/>
      <c r="AI222" s="77">
        <f t="shared" si="9"/>
        <v>41779.51</v>
      </c>
      <c r="AJ222" s="24"/>
      <c r="AK222" s="15" t="str">
        <f>'Gen Rev'!A222</f>
        <v>Fulton</v>
      </c>
      <c r="AL222" s="15" t="str">
        <f t="shared" si="10"/>
        <v>Fulton</v>
      </c>
      <c r="AM222" s="15" t="b">
        <f t="shared" si="11"/>
        <v>1</v>
      </c>
    </row>
    <row r="223" spans="1:42" ht="12" customHeight="1" x14ac:dyDescent="0.2">
      <c r="A223" s="1" t="s">
        <v>485</v>
      </c>
      <c r="B223" s="1"/>
      <c r="C223" s="1" t="s">
        <v>484</v>
      </c>
      <c r="E223" s="77">
        <v>2102.9499999999998</v>
      </c>
      <c r="F223" s="77"/>
      <c r="G223" s="77">
        <v>0</v>
      </c>
      <c r="H223" s="77"/>
      <c r="I223" s="77">
        <v>9966.14</v>
      </c>
      <c r="J223" s="77"/>
      <c r="K223" s="77">
        <v>0</v>
      </c>
      <c r="L223" s="77"/>
      <c r="M223" s="77">
        <v>0</v>
      </c>
      <c r="N223" s="77"/>
      <c r="O223" s="77">
        <v>0</v>
      </c>
      <c r="P223" s="77"/>
      <c r="Q223" s="77">
        <v>3.75</v>
      </c>
      <c r="R223" s="77"/>
      <c r="S223" s="77">
        <v>1187.4100000000001</v>
      </c>
      <c r="T223" s="77"/>
      <c r="U223" s="77">
        <v>0</v>
      </c>
      <c r="V223" s="77"/>
      <c r="W223" s="77">
        <v>0</v>
      </c>
      <c r="X223" s="77"/>
      <c r="Y223" s="77">
        <v>0</v>
      </c>
      <c r="Z223" s="77"/>
      <c r="AA223" s="77">
        <v>0</v>
      </c>
      <c r="AB223" s="77"/>
      <c r="AC223" s="77">
        <v>0</v>
      </c>
      <c r="AD223" s="77"/>
      <c r="AE223" s="77">
        <v>0</v>
      </c>
      <c r="AF223" s="77"/>
      <c r="AG223" s="77">
        <v>0</v>
      </c>
      <c r="AH223" s="77"/>
      <c r="AI223" s="77">
        <f t="shared" si="9"/>
        <v>13260.25</v>
      </c>
      <c r="AJ223" s="24"/>
      <c r="AK223" s="15" t="str">
        <f>'Gen Rev'!A223</f>
        <v>Fultonham</v>
      </c>
      <c r="AL223" s="15" t="str">
        <f t="shared" si="10"/>
        <v>Fultonham</v>
      </c>
      <c r="AM223" s="15" t="b">
        <f t="shared" si="11"/>
        <v>1</v>
      </c>
      <c r="AN223" s="31"/>
      <c r="AO223" s="31"/>
      <c r="AP223" s="31"/>
    </row>
    <row r="224" spans="1:42" ht="12" customHeight="1" x14ac:dyDescent="0.2">
      <c r="A224" s="1" t="s">
        <v>57</v>
      </c>
      <c r="B224" s="1"/>
      <c r="C224" s="1" t="s">
        <v>754</v>
      </c>
      <c r="E224" s="77">
        <v>60240.92</v>
      </c>
      <c r="F224" s="77"/>
      <c r="G224" s="77">
        <v>271362.37</v>
      </c>
      <c r="H224" s="77"/>
      <c r="I224" s="77">
        <v>67301.33</v>
      </c>
      <c r="J224" s="77"/>
      <c r="K224" s="77">
        <v>0</v>
      </c>
      <c r="L224" s="77"/>
      <c r="M224" s="77">
        <v>0</v>
      </c>
      <c r="N224" s="77"/>
      <c r="O224" s="77">
        <v>4425</v>
      </c>
      <c r="P224" s="77"/>
      <c r="Q224" s="77">
        <v>1794.45</v>
      </c>
      <c r="R224" s="77"/>
      <c r="S224" s="77">
        <v>35672.410000000003</v>
      </c>
      <c r="T224" s="77"/>
      <c r="U224" s="77">
        <v>0</v>
      </c>
      <c r="V224" s="77"/>
      <c r="W224" s="77">
        <v>0</v>
      </c>
      <c r="X224" s="77"/>
      <c r="Y224" s="77">
        <v>0</v>
      </c>
      <c r="Z224" s="77"/>
      <c r="AA224" s="77">
        <v>0</v>
      </c>
      <c r="AB224" s="77"/>
      <c r="AC224" s="77">
        <v>0</v>
      </c>
      <c r="AD224" s="77"/>
      <c r="AE224" s="77">
        <v>5569.15</v>
      </c>
      <c r="AF224" s="77"/>
      <c r="AG224" s="77">
        <v>0</v>
      </c>
      <c r="AH224" s="77"/>
      <c r="AI224" s="77">
        <f t="shared" si="9"/>
        <v>446365.63</v>
      </c>
      <c r="AJ224" s="24"/>
      <c r="AK224" s="15" t="str">
        <f>'Gen Rev'!A224</f>
        <v>Galena</v>
      </c>
      <c r="AL224" s="15" t="str">
        <f t="shared" si="10"/>
        <v>Galena</v>
      </c>
      <c r="AM224" s="15" t="b">
        <f t="shared" si="11"/>
        <v>1</v>
      </c>
      <c r="AN224" s="31"/>
      <c r="AO224" s="31"/>
      <c r="AP224" s="31"/>
    </row>
    <row r="225" spans="1:42" s="31" customFormat="1" ht="12" customHeight="1" x14ac:dyDescent="0.2">
      <c r="A225" s="15" t="s">
        <v>363</v>
      </c>
      <c r="B225" s="15"/>
      <c r="C225" s="15" t="s">
        <v>364</v>
      </c>
      <c r="D225" s="15"/>
      <c r="E225" s="77">
        <f>340096+98854</f>
        <v>438950</v>
      </c>
      <c r="F225" s="77"/>
      <c r="G225" s="77">
        <v>1680028</v>
      </c>
      <c r="H225" s="77"/>
      <c r="I225" s="77">
        <f>752476+63478</f>
        <v>815954</v>
      </c>
      <c r="J225" s="77"/>
      <c r="K225" s="77">
        <v>0</v>
      </c>
      <c r="L225" s="77"/>
      <c r="M225" s="77">
        <v>761438</v>
      </c>
      <c r="N225" s="77"/>
      <c r="O225" s="77">
        <f>844499+60713</f>
        <v>905212</v>
      </c>
      <c r="P225" s="77"/>
      <c r="Q225" s="77">
        <v>75540</v>
      </c>
      <c r="R225" s="77"/>
      <c r="S225" s="77">
        <f>36357+8702</f>
        <v>45059</v>
      </c>
      <c r="T225" s="77"/>
      <c r="U225" s="77">
        <v>0</v>
      </c>
      <c r="V225" s="77"/>
      <c r="W225" s="77">
        <v>0</v>
      </c>
      <c r="X225" s="77"/>
      <c r="Y225" s="77">
        <v>160000</v>
      </c>
      <c r="Z225" s="77"/>
      <c r="AA225" s="77">
        <v>1114684</v>
      </c>
      <c r="AB225" s="77"/>
      <c r="AC225" s="77">
        <v>551945</v>
      </c>
      <c r="AD225" s="77"/>
      <c r="AE225" s="77">
        <v>0</v>
      </c>
      <c r="AF225" s="77"/>
      <c r="AG225" s="77">
        <v>0</v>
      </c>
      <c r="AH225" s="77"/>
      <c r="AI225" s="77">
        <f t="shared" si="9"/>
        <v>6548810</v>
      </c>
      <c r="AJ225" s="24"/>
      <c r="AK225" s="15" t="str">
        <f>'Gen Rev'!A225</f>
        <v>Gallipolis</v>
      </c>
      <c r="AL225" s="15" t="str">
        <f t="shared" si="10"/>
        <v>Gallipolis</v>
      </c>
      <c r="AM225" s="15" t="b">
        <f t="shared" si="11"/>
        <v>1</v>
      </c>
    </row>
    <row r="226" spans="1:42" s="31" customFormat="1" ht="12" customHeight="1" x14ac:dyDescent="0.2">
      <c r="A226" s="15" t="s">
        <v>887</v>
      </c>
      <c r="B226" s="15"/>
      <c r="C226" s="15" t="s">
        <v>771</v>
      </c>
      <c r="D226" s="15"/>
      <c r="E226" s="77">
        <v>0</v>
      </c>
      <c r="F226" s="77"/>
      <c r="G226" s="77">
        <v>675495</v>
      </c>
      <c r="H226" s="77"/>
      <c r="I226" s="77">
        <v>69006</v>
      </c>
      <c r="J226" s="77"/>
      <c r="K226" s="77">
        <v>0</v>
      </c>
      <c r="L226" s="77"/>
      <c r="M226" s="77">
        <v>7099</v>
      </c>
      <c r="N226" s="77"/>
      <c r="O226" s="77">
        <v>15135</v>
      </c>
      <c r="P226" s="77"/>
      <c r="Q226" s="77">
        <v>1772</v>
      </c>
      <c r="R226" s="77"/>
      <c r="S226" s="77">
        <v>20804</v>
      </c>
      <c r="T226" s="77"/>
      <c r="U226" s="77">
        <v>0</v>
      </c>
      <c r="V226" s="77"/>
      <c r="W226" s="77">
        <v>0</v>
      </c>
      <c r="X226" s="77"/>
      <c r="Y226" s="77">
        <v>0</v>
      </c>
      <c r="Z226" s="77"/>
      <c r="AA226" s="77">
        <v>0</v>
      </c>
      <c r="AB226" s="77"/>
      <c r="AC226" s="77">
        <v>0</v>
      </c>
      <c r="AD226" s="77"/>
      <c r="AE226" s="77">
        <v>5017</v>
      </c>
      <c r="AF226" s="77"/>
      <c r="AG226" s="77">
        <v>0</v>
      </c>
      <c r="AH226" s="77"/>
      <c r="AI226" s="77">
        <f t="shared" si="9"/>
        <v>794328</v>
      </c>
      <c r="AJ226" s="24"/>
      <c r="AK226" s="15" t="str">
        <f>'Gen Rev'!A226</f>
        <v>Gambier</v>
      </c>
      <c r="AL226" s="15" t="str">
        <f t="shared" si="10"/>
        <v>Gambier</v>
      </c>
      <c r="AM226" s="15" t="b">
        <f t="shared" si="11"/>
        <v>1</v>
      </c>
      <c r="AN226" s="15"/>
      <c r="AO226" s="15"/>
      <c r="AP226" s="15"/>
    </row>
    <row r="227" spans="1:42" s="31" customFormat="1" ht="12" hidden="1" customHeight="1" x14ac:dyDescent="0.2">
      <c r="A227" s="1" t="s">
        <v>122</v>
      </c>
      <c r="B227" s="1"/>
      <c r="C227" s="1" t="s">
        <v>427</v>
      </c>
      <c r="D227" s="15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>
        <f t="shared" si="9"/>
        <v>0</v>
      </c>
      <c r="AJ227" s="24"/>
      <c r="AK227" s="15" t="str">
        <f>'Gen Rev'!A227</f>
        <v>Gann</v>
      </c>
      <c r="AL227" s="15" t="str">
        <f t="shared" si="10"/>
        <v>Gann</v>
      </c>
      <c r="AM227" s="15" t="b">
        <f t="shared" si="11"/>
        <v>1</v>
      </c>
      <c r="AN227" s="15"/>
      <c r="AO227" s="15"/>
      <c r="AP227" s="15"/>
    </row>
    <row r="228" spans="1:42" ht="12" customHeight="1" x14ac:dyDescent="0.2">
      <c r="A228" s="15" t="s">
        <v>507</v>
      </c>
      <c r="C228" s="15" t="s">
        <v>259</v>
      </c>
      <c r="E228" s="77">
        <v>135414</v>
      </c>
      <c r="F228" s="77"/>
      <c r="G228" s="77">
        <v>1111023</v>
      </c>
      <c r="H228" s="77"/>
      <c r="I228" s="77">
        <v>305308</v>
      </c>
      <c r="J228" s="77"/>
      <c r="K228" s="77">
        <v>21283</v>
      </c>
      <c r="L228" s="77"/>
      <c r="M228" s="77">
        <v>70318</v>
      </c>
      <c r="N228" s="77"/>
      <c r="O228" s="77">
        <v>10933</v>
      </c>
      <c r="P228" s="77"/>
      <c r="Q228" s="77">
        <v>7465</v>
      </c>
      <c r="R228" s="77"/>
      <c r="S228" s="77">
        <v>85464</v>
      </c>
      <c r="T228" s="77"/>
      <c r="U228" s="77">
        <v>0</v>
      </c>
      <c r="V228" s="77"/>
      <c r="W228" s="77">
        <v>0</v>
      </c>
      <c r="X228" s="77"/>
      <c r="Y228" s="77">
        <v>2696</v>
      </c>
      <c r="Z228" s="77"/>
      <c r="AA228" s="77">
        <f>7000+2237</f>
        <v>9237</v>
      </c>
      <c r="AB228" s="77"/>
      <c r="AC228" s="77">
        <v>0</v>
      </c>
      <c r="AD228" s="77"/>
      <c r="AE228" s="77">
        <v>0</v>
      </c>
      <c r="AF228" s="77"/>
      <c r="AG228" s="77">
        <v>0</v>
      </c>
      <c r="AH228" s="77"/>
      <c r="AI228" s="77">
        <f t="shared" si="9"/>
        <v>1759141</v>
      </c>
      <c r="AJ228" s="24"/>
      <c r="AK228" s="15" t="str">
        <f>'Gen Rev'!A228</f>
        <v>Garrettsville</v>
      </c>
      <c r="AL228" s="15" t="str">
        <f t="shared" si="10"/>
        <v>Garrettsville</v>
      </c>
      <c r="AM228" s="15" t="b">
        <f t="shared" si="11"/>
        <v>1</v>
      </c>
    </row>
    <row r="229" spans="1:42" ht="12" customHeight="1" x14ac:dyDescent="0.2">
      <c r="A229" s="37" t="s">
        <v>320</v>
      </c>
      <c r="B229" s="37"/>
      <c r="C229" s="37" t="s">
        <v>316</v>
      </c>
      <c r="D229" s="37"/>
      <c r="E229" s="77">
        <v>2278968</v>
      </c>
      <c r="F229" s="77"/>
      <c r="G229" s="77">
        <v>1650091</v>
      </c>
      <c r="H229" s="77"/>
      <c r="I229" s="77">
        <v>872236</v>
      </c>
      <c r="J229" s="77"/>
      <c r="K229" s="77">
        <v>23965</v>
      </c>
      <c r="L229" s="77"/>
      <c r="M229" s="77">
        <v>456535</v>
      </c>
      <c r="N229" s="77"/>
      <c r="O229" s="77">
        <v>75942</v>
      </c>
      <c r="P229" s="77"/>
      <c r="Q229" s="77">
        <v>3839</v>
      </c>
      <c r="R229" s="77"/>
      <c r="S229" s="77">
        <v>66221</v>
      </c>
      <c r="T229" s="77"/>
      <c r="U229" s="77">
        <v>0</v>
      </c>
      <c r="V229" s="77"/>
      <c r="W229" s="77">
        <v>0</v>
      </c>
      <c r="X229" s="77"/>
      <c r="Y229" s="77">
        <v>0</v>
      </c>
      <c r="Z229" s="77"/>
      <c r="AA229" s="77">
        <v>466231</v>
      </c>
      <c r="AB229" s="77"/>
      <c r="AC229" s="77">
        <v>0</v>
      </c>
      <c r="AD229" s="77"/>
      <c r="AE229" s="77">
        <v>0</v>
      </c>
      <c r="AF229" s="77"/>
      <c r="AG229" s="77">
        <v>0</v>
      </c>
      <c r="AH229" s="77"/>
      <c r="AI229" s="77">
        <f t="shared" si="9"/>
        <v>5894028</v>
      </c>
      <c r="AJ229" s="37"/>
      <c r="AK229" s="15" t="str">
        <f>'Gen Rev'!A229</f>
        <v>Gates Mills</v>
      </c>
      <c r="AL229" s="15" t="str">
        <f t="shared" si="10"/>
        <v>Gates Mills</v>
      </c>
      <c r="AM229" s="15" t="b">
        <f t="shared" si="11"/>
        <v>1</v>
      </c>
      <c r="AN229" s="74"/>
      <c r="AO229" s="74"/>
      <c r="AP229" s="74"/>
    </row>
    <row r="230" spans="1:42" ht="12" customHeight="1" x14ac:dyDescent="0.2">
      <c r="A230" s="1" t="s">
        <v>269</v>
      </c>
      <c r="B230" s="1"/>
      <c r="C230" s="1" t="s">
        <v>738</v>
      </c>
      <c r="E230" s="77">
        <v>386815.73</v>
      </c>
      <c r="F230" s="77"/>
      <c r="G230" s="77">
        <v>161945.47</v>
      </c>
      <c r="H230" s="77"/>
      <c r="I230" s="77">
        <v>197958.95</v>
      </c>
      <c r="J230" s="77"/>
      <c r="K230" s="77">
        <v>41644.06</v>
      </c>
      <c r="L230" s="77"/>
      <c r="M230" s="77">
        <v>34010.21</v>
      </c>
      <c r="N230" s="77"/>
      <c r="O230" s="77">
        <v>52568.5</v>
      </c>
      <c r="P230" s="77"/>
      <c r="Q230" s="77">
        <v>3481.57</v>
      </c>
      <c r="R230" s="77"/>
      <c r="S230" s="77">
        <v>33383.06</v>
      </c>
      <c r="T230" s="77"/>
      <c r="U230" s="77">
        <v>0</v>
      </c>
      <c r="V230" s="77"/>
      <c r="W230" s="77">
        <v>0</v>
      </c>
      <c r="X230" s="77"/>
      <c r="Y230" s="77">
        <v>0</v>
      </c>
      <c r="Z230" s="77"/>
      <c r="AA230" s="77">
        <v>0</v>
      </c>
      <c r="AB230" s="77"/>
      <c r="AC230" s="77">
        <v>32100</v>
      </c>
      <c r="AD230" s="77"/>
      <c r="AE230" s="77">
        <v>0</v>
      </c>
      <c r="AF230" s="77"/>
      <c r="AG230" s="77">
        <v>0</v>
      </c>
      <c r="AH230" s="77"/>
      <c r="AI230" s="77">
        <f t="shared" si="9"/>
        <v>943907.54999999981</v>
      </c>
      <c r="AJ230" s="24"/>
      <c r="AK230" s="15" t="str">
        <f>'Gen Rev'!A230</f>
        <v>Geneva On The Lake</v>
      </c>
      <c r="AL230" s="15" t="str">
        <f t="shared" si="10"/>
        <v>Geneva On The Lake</v>
      </c>
      <c r="AM230" s="15" t="b">
        <f t="shared" si="11"/>
        <v>1</v>
      </c>
      <c r="AN230" s="31"/>
      <c r="AO230" s="31"/>
      <c r="AP230" s="31"/>
    </row>
    <row r="231" spans="1:42" s="67" customFormat="1" ht="12" customHeight="1" x14ac:dyDescent="0.2">
      <c r="A231" s="15" t="s">
        <v>493</v>
      </c>
      <c r="B231" s="15"/>
      <c r="C231" s="15" t="s">
        <v>207</v>
      </c>
      <c r="D231" s="15"/>
      <c r="E231" s="77">
        <v>146977</v>
      </c>
      <c r="F231" s="77"/>
      <c r="G231" s="77">
        <v>754338</v>
      </c>
      <c r="H231" s="77"/>
      <c r="I231" s="77">
        <v>279078</v>
      </c>
      <c r="J231" s="77"/>
      <c r="K231" s="77">
        <v>0</v>
      </c>
      <c r="L231" s="77"/>
      <c r="M231" s="77">
        <v>1130</v>
      </c>
      <c r="N231" s="77"/>
      <c r="O231" s="77">
        <v>28911</v>
      </c>
      <c r="P231" s="77"/>
      <c r="Q231" s="77">
        <v>9383</v>
      </c>
      <c r="R231" s="77"/>
      <c r="S231" s="77">
        <v>3670</v>
      </c>
      <c r="T231" s="77"/>
      <c r="U231" s="77">
        <v>0</v>
      </c>
      <c r="V231" s="77"/>
      <c r="W231" s="77">
        <v>0</v>
      </c>
      <c r="X231" s="77"/>
      <c r="Y231" s="77">
        <v>0</v>
      </c>
      <c r="Z231" s="77"/>
      <c r="AA231" s="77">
        <v>1827761</v>
      </c>
      <c r="AB231" s="77"/>
      <c r="AC231" s="77">
        <v>0</v>
      </c>
      <c r="AD231" s="77"/>
      <c r="AE231" s="77">
        <f>203087+18299</f>
        <v>221386</v>
      </c>
      <c r="AF231" s="77"/>
      <c r="AG231" s="77">
        <v>0</v>
      </c>
      <c r="AH231" s="77"/>
      <c r="AI231" s="77">
        <f t="shared" si="9"/>
        <v>3272634</v>
      </c>
      <c r="AJ231" s="24"/>
      <c r="AK231" s="15" t="str">
        <f>'Gen Rev'!A231</f>
        <v>Genoa</v>
      </c>
      <c r="AL231" s="15" t="str">
        <f t="shared" si="10"/>
        <v>Genoa</v>
      </c>
      <c r="AM231" s="15" t="b">
        <f t="shared" si="11"/>
        <v>1</v>
      </c>
      <c r="AN231" s="15"/>
      <c r="AO231" s="15"/>
      <c r="AP231" s="15"/>
    </row>
    <row r="232" spans="1:42" ht="12" customHeight="1" x14ac:dyDescent="0.2">
      <c r="A232" s="1" t="s">
        <v>22</v>
      </c>
      <c r="B232" s="1"/>
      <c r="C232" s="1" t="s">
        <v>742</v>
      </c>
      <c r="E232" s="77">
        <v>149693.85999999999</v>
      </c>
      <c r="F232" s="77"/>
      <c r="G232" s="77">
        <v>427444.5</v>
      </c>
      <c r="H232" s="77"/>
      <c r="I232" s="77">
        <v>584498.25</v>
      </c>
      <c r="J232" s="77"/>
      <c r="K232" s="77">
        <v>212941.82</v>
      </c>
      <c r="L232" s="77"/>
      <c r="M232" s="77">
        <v>289873.34000000003</v>
      </c>
      <c r="N232" s="77"/>
      <c r="O232" s="77">
        <v>99713.99</v>
      </c>
      <c r="P232" s="77"/>
      <c r="Q232" s="77">
        <v>13446.71</v>
      </c>
      <c r="R232" s="77"/>
      <c r="S232" s="77">
        <v>29882.28</v>
      </c>
      <c r="T232" s="77"/>
      <c r="U232" s="77">
        <v>0</v>
      </c>
      <c r="V232" s="77"/>
      <c r="W232" s="77">
        <v>0</v>
      </c>
      <c r="X232" s="77"/>
      <c r="Y232" s="77">
        <v>648</v>
      </c>
      <c r="Z232" s="77"/>
      <c r="AA232" s="77">
        <v>0</v>
      </c>
      <c r="AB232" s="77"/>
      <c r="AC232" s="77">
        <v>0</v>
      </c>
      <c r="AD232" s="77"/>
      <c r="AE232" s="77">
        <v>0</v>
      </c>
      <c r="AF232" s="77"/>
      <c r="AG232" s="77">
        <v>0</v>
      </c>
      <c r="AH232" s="77"/>
      <c r="AI232" s="77">
        <f t="shared" si="9"/>
        <v>1808142.75</v>
      </c>
      <c r="AJ232" s="24"/>
      <c r="AK232" s="15" t="str">
        <f>'Gen Rev'!A232</f>
        <v>Georgetown</v>
      </c>
      <c r="AL232" s="15" t="str">
        <f t="shared" si="10"/>
        <v>Georgetown</v>
      </c>
      <c r="AM232" s="15" t="b">
        <f t="shared" si="11"/>
        <v>1</v>
      </c>
      <c r="AN232" s="30"/>
      <c r="AO232" s="30"/>
      <c r="AP232" s="30"/>
    </row>
    <row r="233" spans="1:42" ht="12" hidden="1" customHeight="1" x14ac:dyDescent="0.2">
      <c r="A233" s="1" t="s">
        <v>480</v>
      </c>
      <c r="B233" s="1"/>
      <c r="C233" s="1" t="s">
        <v>786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>
        <f t="shared" si="9"/>
        <v>0</v>
      </c>
      <c r="AJ233" s="24"/>
      <c r="AK233" s="15" t="str">
        <f>'Gen Rev'!A233</f>
        <v>Germantown</v>
      </c>
      <c r="AL233" s="15" t="str">
        <f t="shared" si="10"/>
        <v>Germantown</v>
      </c>
      <c r="AM233" s="15" t="b">
        <f t="shared" si="11"/>
        <v>1</v>
      </c>
    </row>
    <row r="234" spans="1:42" ht="12" customHeight="1" x14ac:dyDescent="0.2">
      <c r="A234" s="1" t="s">
        <v>52</v>
      </c>
      <c r="B234" s="1"/>
      <c r="C234" s="1" t="s">
        <v>752</v>
      </c>
      <c r="E234" s="77">
        <v>38911.910000000003</v>
      </c>
      <c r="F234" s="77"/>
      <c r="G234" s="77">
        <v>0</v>
      </c>
      <c r="H234" s="77"/>
      <c r="I234" s="77">
        <v>80656.509999999995</v>
      </c>
      <c r="J234" s="77"/>
      <c r="K234" s="77">
        <v>0</v>
      </c>
      <c r="L234" s="77"/>
      <c r="M234" s="77">
        <v>315</v>
      </c>
      <c r="N234" s="77"/>
      <c r="O234" s="77">
        <v>3751.83</v>
      </c>
      <c r="P234" s="77"/>
      <c r="Q234" s="77">
        <v>313.98</v>
      </c>
      <c r="R234" s="77"/>
      <c r="S234" s="77">
        <v>7796.16</v>
      </c>
      <c r="T234" s="77"/>
      <c r="U234" s="77">
        <v>0</v>
      </c>
      <c r="V234" s="77"/>
      <c r="W234" s="77">
        <v>0</v>
      </c>
      <c r="X234" s="77"/>
      <c r="Y234" s="77">
        <v>0</v>
      </c>
      <c r="Z234" s="77"/>
      <c r="AA234" s="77">
        <v>3004.4</v>
      </c>
      <c r="AB234" s="77"/>
      <c r="AC234" s="77">
        <v>22000</v>
      </c>
      <c r="AD234" s="77"/>
      <c r="AE234" s="77">
        <v>0</v>
      </c>
      <c r="AF234" s="77"/>
      <c r="AG234" s="77">
        <v>1000</v>
      </c>
      <c r="AH234" s="77"/>
      <c r="AI234" s="77">
        <f t="shared" si="9"/>
        <v>157749.78999999998</v>
      </c>
      <c r="AJ234" s="24"/>
      <c r="AK234" s="15" t="str">
        <f>'Gen Rev'!A234</f>
        <v>Gettysburg</v>
      </c>
      <c r="AL234" s="15" t="str">
        <f t="shared" si="10"/>
        <v>Gettysburg</v>
      </c>
      <c r="AM234" s="15" t="b">
        <f t="shared" si="11"/>
        <v>1</v>
      </c>
      <c r="AN234" s="32"/>
      <c r="AO234" s="32"/>
      <c r="AP234" s="32"/>
    </row>
    <row r="235" spans="1:42" s="31" customFormat="1" ht="12" customHeight="1" x14ac:dyDescent="0.2">
      <c r="A235" s="24"/>
      <c r="B235" s="24"/>
      <c r="C235" s="24"/>
      <c r="D235" s="24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24"/>
      <c r="AK235" s="15"/>
      <c r="AL235" s="15"/>
      <c r="AM235" s="15"/>
      <c r="AN235" s="29"/>
      <c r="AO235" s="29"/>
      <c r="AP235" s="29"/>
    </row>
    <row r="236" spans="1:42" s="31" customFormat="1" ht="12" customHeight="1" x14ac:dyDescent="0.2">
      <c r="A236" s="24"/>
      <c r="B236" s="24"/>
      <c r="C236" s="24"/>
      <c r="D236" s="24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 t="s">
        <v>850</v>
      </c>
      <c r="AJ236" s="24"/>
      <c r="AK236" s="15"/>
      <c r="AL236" s="15"/>
      <c r="AM236" s="15"/>
      <c r="AN236" s="29"/>
      <c r="AO236" s="29"/>
      <c r="AP236" s="29"/>
    </row>
    <row r="237" spans="1:42" s="31" customFormat="1" ht="12" customHeight="1" x14ac:dyDescent="0.2">
      <c r="A237" s="24"/>
      <c r="B237" s="24"/>
      <c r="C237" s="24"/>
      <c r="D237" s="24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24"/>
      <c r="AK237" s="15"/>
      <c r="AL237" s="15"/>
      <c r="AM237" s="15"/>
      <c r="AN237" s="29"/>
      <c r="AO237" s="29"/>
      <c r="AP237" s="29"/>
    </row>
    <row r="238" spans="1:42" s="31" customFormat="1" ht="12" customHeight="1" x14ac:dyDescent="0.2">
      <c r="A238" s="1" t="s">
        <v>526</v>
      </c>
      <c r="B238" s="1"/>
      <c r="C238" s="1" t="s">
        <v>525</v>
      </c>
      <c r="D238" s="15"/>
      <c r="E238" s="89">
        <v>117271.54</v>
      </c>
      <c r="F238" s="89"/>
      <c r="G238" s="89">
        <v>587162.16</v>
      </c>
      <c r="H238" s="89"/>
      <c r="I238" s="89">
        <v>220642.41</v>
      </c>
      <c r="J238" s="89"/>
      <c r="K238" s="89">
        <v>3199.12</v>
      </c>
      <c r="L238" s="89"/>
      <c r="M238" s="89">
        <v>2038.13</v>
      </c>
      <c r="N238" s="89"/>
      <c r="O238" s="89">
        <v>38688.67</v>
      </c>
      <c r="P238" s="89"/>
      <c r="Q238" s="89">
        <v>4055.5</v>
      </c>
      <c r="R238" s="89"/>
      <c r="S238" s="89">
        <v>17441.63</v>
      </c>
      <c r="T238" s="89"/>
      <c r="U238" s="89">
        <v>0</v>
      </c>
      <c r="V238" s="89"/>
      <c r="W238" s="89">
        <v>0</v>
      </c>
      <c r="X238" s="89"/>
      <c r="Y238" s="89">
        <v>3340</v>
      </c>
      <c r="Z238" s="89"/>
      <c r="AA238" s="89">
        <v>65019.98</v>
      </c>
      <c r="AB238" s="89"/>
      <c r="AC238" s="89">
        <v>0</v>
      </c>
      <c r="AD238" s="89"/>
      <c r="AE238" s="89">
        <v>0</v>
      </c>
      <c r="AF238" s="89"/>
      <c r="AG238" s="89">
        <v>0</v>
      </c>
      <c r="AH238" s="89"/>
      <c r="AI238" s="89">
        <f t="shared" si="9"/>
        <v>1058859.1400000001</v>
      </c>
      <c r="AJ238" s="24"/>
      <c r="AK238" s="15" t="str">
        <f>'Gen Rev'!A238</f>
        <v>Gibsonburg</v>
      </c>
      <c r="AL238" s="15" t="str">
        <f t="shared" si="10"/>
        <v>Gibsonburg</v>
      </c>
      <c r="AM238" s="15" t="b">
        <f t="shared" si="11"/>
        <v>1</v>
      </c>
    </row>
    <row r="239" spans="1:42" ht="12" customHeight="1" x14ac:dyDescent="0.2">
      <c r="A239" s="1" t="s">
        <v>205</v>
      </c>
      <c r="B239" s="1"/>
      <c r="C239" s="1" t="s">
        <v>797</v>
      </c>
      <c r="E239" s="77">
        <v>14676.63</v>
      </c>
      <c r="F239" s="77"/>
      <c r="G239" s="77">
        <v>0</v>
      </c>
      <c r="H239" s="77"/>
      <c r="I239" s="77">
        <v>38878.11</v>
      </c>
      <c r="J239" s="77"/>
      <c r="K239" s="77">
        <v>0</v>
      </c>
      <c r="L239" s="77"/>
      <c r="M239" s="77">
        <v>14477.47</v>
      </c>
      <c r="N239" s="77"/>
      <c r="O239" s="77">
        <v>385</v>
      </c>
      <c r="P239" s="77"/>
      <c r="Q239" s="77">
        <v>2774.26</v>
      </c>
      <c r="R239" s="77"/>
      <c r="S239" s="77">
        <v>120</v>
      </c>
      <c r="T239" s="77"/>
      <c r="U239" s="77">
        <v>0</v>
      </c>
      <c r="V239" s="77"/>
      <c r="W239" s="77">
        <v>0</v>
      </c>
      <c r="X239" s="77"/>
      <c r="Y239" s="77">
        <v>0</v>
      </c>
      <c r="Z239" s="77"/>
      <c r="AA239" s="77">
        <v>0</v>
      </c>
      <c r="AB239" s="77"/>
      <c r="AC239" s="77">
        <v>0</v>
      </c>
      <c r="AD239" s="77"/>
      <c r="AE239" s="77">
        <v>0</v>
      </c>
      <c r="AF239" s="77"/>
      <c r="AG239" s="77">
        <v>0</v>
      </c>
      <c r="AH239" s="77"/>
      <c r="AI239" s="77">
        <f t="shared" si="9"/>
        <v>71311.469999999987</v>
      </c>
      <c r="AJ239" s="24"/>
      <c r="AK239" s="15" t="str">
        <f>'Gen Rev'!A239</f>
        <v>Gilboa</v>
      </c>
      <c r="AL239" s="15" t="str">
        <f t="shared" si="10"/>
        <v>Gilboa</v>
      </c>
      <c r="AM239" s="15" t="b">
        <f t="shared" si="11"/>
        <v>1</v>
      </c>
      <c r="AN239" s="31"/>
      <c r="AO239" s="31"/>
      <c r="AP239" s="31"/>
    </row>
    <row r="240" spans="1:42" ht="12" customHeight="1" x14ac:dyDescent="0.2">
      <c r="A240" s="1" t="s">
        <v>515</v>
      </c>
      <c r="B240" s="1"/>
      <c r="C240" s="1" t="s">
        <v>513</v>
      </c>
      <c r="E240" s="77">
        <v>86298.12</v>
      </c>
      <c r="F240" s="77"/>
      <c r="G240" s="77">
        <v>245194</v>
      </c>
      <c r="H240" s="77"/>
      <c r="I240" s="77">
        <v>93585.27</v>
      </c>
      <c r="J240" s="77"/>
      <c r="K240" s="77">
        <v>0</v>
      </c>
      <c r="L240" s="77"/>
      <c r="M240" s="77">
        <v>25927.62</v>
      </c>
      <c r="N240" s="77"/>
      <c r="O240" s="77">
        <v>621</v>
      </c>
      <c r="P240" s="77"/>
      <c r="Q240" s="77">
        <v>3217.93</v>
      </c>
      <c r="R240" s="77"/>
      <c r="S240" s="77">
        <v>4577.04</v>
      </c>
      <c r="T240" s="77"/>
      <c r="U240" s="77">
        <v>0</v>
      </c>
      <c r="V240" s="77"/>
      <c r="W240" s="77">
        <v>0</v>
      </c>
      <c r="X240" s="77"/>
      <c r="Y240" s="77">
        <v>0</v>
      </c>
      <c r="Z240" s="77"/>
      <c r="AA240" s="77">
        <v>50000</v>
      </c>
      <c r="AB240" s="77"/>
      <c r="AC240" s="77">
        <v>0</v>
      </c>
      <c r="AD240" s="77"/>
      <c r="AE240" s="77">
        <v>0</v>
      </c>
      <c r="AF240" s="77"/>
      <c r="AG240" s="77">
        <v>0</v>
      </c>
      <c r="AH240" s="77"/>
      <c r="AI240" s="77">
        <f t="shared" si="9"/>
        <v>509420.98</v>
      </c>
      <c r="AJ240" s="24"/>
      <c r="AK240" s="15" t="str">
        <f>'Gen Rev'!A240</f>
        <v>Glandorf</v>
      </c>
      <c r="AL240" s="15" t="str">
        <f t="shared" si="10"/>
        <v>Glandorf</v>
      </c>
      <c r="AM240" s="15" t="b">
        <f t="shared" si="11"/>
        <v>1</v>
      </c>
      <c r="AN240" s="31"/>
      <c r="AO240" s="31"/>
      <c r="AP240" s="31"/>
    </row>
    <row r="241" spans="1:42" ht="12" customHeight="1" x14ac:dyDescent="0.2">
      <c r="A241" s="24" t="s">
        <v>381</v>
      </c>
      <c r="B241" s="24"/>
      <c r="C241" s="24" t="s">
        <v>378</v>
      </c>
      <c r="D241" s="24"/>
      <c r="E241" s="77">
        <v>1859435</v>
      </c>
      <c r="F241" s="77"/>
      <c r="G241" s="77">
        <v>0</v>
      </c>
      <c r="H241" s="77"/>
      <c r="I241" s="77">
        <v>396726</v>
      </c>
      <c r="J241" s="77"/>
      <c r="K241" s="77">
        <v>0</v>
      </c>
      <c r="L241" s="77"/>
      <c r="M241" s="77">
        <v>531320</v>
      </c>
      <c r="N241" s="77"/>
      <c r="O241" s="77">
        <v>142283</v>
      </c>
      <c r="P241" s="77"/>
      <c r="Q241" s="77">
        <v>4743</v>
      </c>
      <c r="R241" s="77"/>
      <c r="S241" s="77">
        <v>42714</v>
      </c>
      <c r="T241" s="77"/>
      <c r="U241" s="77">
        <v>0</v>
      </c>
      <c r="V241" s="77"/>
      <c r="W241" s="77">
        <v>0</v>
      </c>
      <c r="X241" s="77"/>
      <c r="Y241" s="77">
        <v>0</v>
      </c>
      <c r="Z241" s="77"/>
      <c r="AA241" s="77">
        <v>43700</v>
      </c>
      <c r="AB241" s="77"/>
      <c r="AC241" s="77">
        <v>3000</v>
      </c>
      <c r="AD241" s="77"/>
      <c r="AE241" s="77">
        <v>747288</v>
      </c>
      <c r="AF241" s="77"/>
      <c r="AG241" s="77">
        <v>0</v>
      </c>
      <c r="AH241" s="77"/>
      <c r="AI241" s="77">
        <f t="shared" si="9"/>
        <v>3771209</v>
      </c>
      <c r="AJ241" s="24"/>
      <c r="AK241" s="15" t="str">
        <f>'Gen Rev'!A241</f>
        <v>Glendale</v>
      </c>
      <c r="AL241" s="15" t="str">
        <f t="shared" si="10"/>
        <v>Glendale</v>
      </c>
      <c r="AM241" s="15" t="b">
        <f t="shared" si="11"/>
        <v>1</v>
      </c>
      <c r="AN241" s="24"/>
      <c r="AO241" s="24"/>
      <c r="AP241" s="24"/>
    </row>
    <row r="242" spans="1:42" ht="12" customHeight="1" x14ac:dyDescent="0.2">
      <c r="A242" s="15" t="s">
        <v>501</v>
      </c>
      <c r="C242" s="15" t="s">
        <v>500</v>
      </c>
      <c r="E242" s="77">
        <v>14217</v>
      </c>
      <c r="F242" s="77"/>
      <c r="G242" s="77">
        <v>0</v>
      </c>
      <c r="H242" s="77"/>
      <c r="I242" s="77">
        <v>7574</v>
      </c>
      <c r="J242" s="77"/>
      <c r="K242" s="77">
        <v>2715</v>
      </c>
      <c r="L242" s="77"/>
      <c r="M242" s="77">
        <v>0</v>
      </c>
      <c r="N242" s="77"/>
      <c r="O242" s="77">
        <v>360</v>
      </c>
      <c r="P242" s="77"/>
      <c r="Q242" s="77">
        <v>0</v>
      </c>
      <c r="R242" s="77"/>
      <c r="S242" s="77">
        <v>6960</v>
      </c>
      <c r="T242" s="77"/>
      <c r="U242" s="77">
        <v>0</v>
      </c>
      <c r="V242" s="77"/>
      <c r="W242" s="77">
        <v>0</v>
      </c>
      <c r="X242" s="77"/>
      <c r="Y242" s="77">
        <v>0</v>
      </c>
      <c r="Z242" s="77"/>
      <c r="AA242" s="77">
        <v>0</v>
      </c>
      <c r="AB242" s="77"/>
      <c r="AC242" s="77">
        <v>0</v>
      </c>
      <c r="AD242" s="77"/>
      <c r="AE242" s="77">
        <v>0</v>
      </c>
      <c r="AF242" s="77"/>
      <c r="AG242" s="77">
        <v>0</v>
      </c>
      <c r="AH242" s="77"/>
      <c r="AI242" s="77">
        <f t="shared" si="9"/>
        <v>31826</v>
      </c>
      <c r="AJ242" s="24"/>
      <c r="AK242" s="15" t="str">
        <f>'Gen Rev'!A242</f>
        <v>Glenford</v>
      </c>
      <c r="AL242" s="15" t="str">
        <f t="shared" si="10"/>
        <v>Glenford</v>
      </c>
      <c r="AM242" s="15" t="b">
        <f t="shared" si="11"/>
        <v>1</v>
      </c>
      <c r="AN242" s="31"/>
      <c r="AO242" s="31"/>
      <c r="AP242" s="31"/>
    </row>
    <row r="243" spans="1:42" s="24" customFormat="1" ht="12" customHeight="1" x14ac:dyDescent="0.2">
      <c r="A243" s="15" t="s">
        <v>851</v>
      </c>
      <c r="B243" s="15"/>
      <c r="C243" s="15" t="s">
        <v>412</v>
      </c>
      <c r="D243" s="15"/>
      <c r="E243" s="77">
        <v>727</v>
      </c>
      <c r="F243" s="77"/>
      <c r="G243" s="77">
        <v>4645</v>
      </c>
      <c r="H243" s="77"/>
      <c r="I243" s="77">
        <v>35814</v>
      </c>
      <c r="J243" s="77"/>
      <c r="K243" s="77">
        <v>0</v>
      </c>
      <c r="L243" s="77"/>
      <c r="M243" s="77">
        <v>6614</v>
      </c>
      <c r="N243" s="77"/>
      <c r="O243" s="77">
        <v>405</v>
      </c>
      <c r="P243" s="77"/>
      <c r="Q243" s="77">
        <v>479</v>
      </c>
      <c r="R243" s="77"/>
      <c r="S243" s="77">
        <v>10170</v>
      </c>
      <c r="T243" s="77"/>
      <c r="U243" s="77">
        <v>0</v>
      </c>
      <c r="V243" s="77"/>
      <c r="W243" s="77">
        <v>0</v>
      </c>
      <c r="X243" s="77"/>
      <c r="Y243" s="77">
        <v>0</v>
      </c>
      <c r="Z243" s="77"/>
      <c r="AA243" s="77">
        <v>0</v>
      </c>
      <c r="AB243" s="77"/>
      <c r="AC243" s="77">
        <v>0</v>
      </c>
      <c r="AD243" s="77"/>
      <c r="AE243" s="77">
        <v>0</v>
      </c>
      <c r="AF243" s="77"/>
      <c r="AG243" s="77">
        <v>0</v>
      </c>
      <c r="AH243" s="77"/>
      <c r="AI243" s="77">
        <f t="shared" si="9"/>
        <v>58854</v>
      </c>
      <c r="AK243" s="15" t="str">
        <f>'Gen Rev'!A243</f>
        <v>Glenmont</v>
      </c>
      <c r="AL243" s="15" t="str">
        <f t="shared" si="10"/>
        <v>Glenmont</v>
      </c>
      <c r="AM243" s="15" t="b">
        <f t="shared" si="11"/>
        <v>1</v>
      </c>
      <c r="AN243" s="15"/>
      <c r="AO243" s="15"/>
      <c r="AP243" s="15"/>
    </row>
    <row r="244" spans="1:42" s="31" customFormat="1" ht="12" customHeight="1" x14ac:dyDescent="0.2">
      <c r="A244" s="1" t="s">
        <v>49</v>
      </c>
      <c r="B244" s="1"/>
      <c r="C244" s="1" t="s">
        <v>751</v>
      </c>
      <c r="D244" s="15"/>
      <c r="E244" s="77">
        <v>163648.63</v>
      </c>
      <c r="F244" s="77"/>
      <c r="G244" s="77">
        <v>2565888.2400000002</v>
      </c>
      <c r="H244" s="77"/>
      <c r="I244" s="77">
        <v>368941.55</v>
      </c>
      <c r="J244" s="77"/>
      <c r="K244" s="77">
        <v>86054.74</v>
      </c>
      <c r="L244" s="77"/>
      <c r="M244" s="77">
        <v>41382.120000000003</v>
      </c>
      <c r="N244" s="77"/>
      <c r="O244" s="77">
        <v>198070.1</v>
      </c>
      <c r="P244" s="77"/>
      <c r="Q244" s="77">
        <v>2828.76</v>
      </c>
      <c r="R244" s="77"/>
      <c r="S244" s="77">
        <v>467491.88</v>
      </c>
      <c r="T244" s="77"/>
      <c r="U244" s="77">
        <v>1088300</v>
      </c>
      <c r="V244" s="77"/>
      <c r="W244" s="77">
        <v>1350000</v>
      </c>
      <c r="X244" s="77"/>
      <c r="Y244" s="77">
        <v>0</v>
      </c>
      <c r="Z244" s="77"/>
      <c r="AA244" s="77">
        <v>509370.22</v>
      </c>
      <c r="AB244" s="77"/>
      <c r="AC244" s="77">
        <v>35000</v>
      </c>
      <c r="AD244" s="77"/>
      <c r="AE244" s="77">
        <v>8019</v>
      </c>
      <c r="AF244" s="77"/>
      <c r="AG244" s="77">
        <v>0</v>
      </c>
      <c r="AH244" s="77"/>
      <c r="AI244" s="77">
        <f t="shared" si="9"/>
        <v>6884995.2399999993</v>
      </c>
      <c r="AJ244" s="24"/>
      <c r="AK244" s="15" t="str">
        <f>'Gen Rev'!A244</f>
        <v>Glenwillow</v>
      </c>
      <c r="AL244" s="15" t="str">
        <f t="shared" si="10"/>
        <v>Glenwillow</v>
      </c>
      <c r="AM244" s="15" t="b">
        <f t="shared" si="11"/>
        <v>1</v>
      </c>
      <c r="AN244" s="30"/>
      <c r="AO244" s="30"/>
      <c r="AP244" s="30"/>
    </row>
    <row r="245" spans="1:42" ht="12" customHeight="1" x14ac:dyDescent="0.2">
      <c r="A245" s="1" t="s">
        <v>153</v>
      </c>
      <c r="B245" s="1"/>
      <c r="C245" s="1" t="s">
        <v>781</v>
      </c>
      <c r="E245" s="77">
        <v>88886.22</v>
      </c>
      <c r="F245" s="77"/>
      <c r="G245" s="77">
        <v>0</v>
      </c>
      <c r="H245" s="77"/>
      <c r="I245" s="77">
        <v>58315.27</v>
      </c>
      <c r="J245" s="77"/>
      <c r="K245" s="77">
        <v>0</v>
      </c>
      <c r="L245" s="77"/>
      <c r="M245" s="77">
        <v>150</v>
      </c>
      <c r="N245" s="77"/>
      <c r="O245" s="77">
        <v>1105.28</v>
      </c>
      <c r="P245" s="77"/>
      <c r="Q245" s="77">
        <v>449.91</v>
      </c>
      <c r="R245" s="77"/>
      <c r="S245" s="77">
        <v>0</v>
      </c>
      <c r="T245" s="77"/>
      <c r="U245" s="77">
        <v>0</v>
      </c>
      <c r="V245" s="77"/>
      <c r="W245" s="77">
        <v>0</v>
      </c>
      <c r="X245" s="77"/>
      <c r="Y245" s="77">
        <v>0</v>
      </c>
      <c r="Z245" s="77"/>
      <c r="AA245" s="77">
        <v>0</v>
      </c>
      <c r="AB245" s="77"/>
      <c r="AC245" s="77">
        <v>0</v>
      </c>
      <c r="AD245" s="77"/>
      <c r="AE245" s="77">
        <v>187.76</v>
      </c>
      <c r="AF245" s="77"/>
      <c r="AG245" s="77">
        <v>0</v>
      </c>
      <c r="AH245" s="77"/>
      <c r="AI245" s="77">
        <f t="shared" si="9"/>
        <v>149094.44</v>
      </c>
      <c r="AJ245" s="24"/>
      <c r="AK245" s="15" t="str">
        <f>'Gen Rev'!A245</f>
        <v>Gloria Glens Park</v>
      </c>
      <c r="AL245" s="15" t="str">
        <f t="shared" si="10"/>
        <v>Gloria Glens Park</v>
      </c>
      <c r="AM245" s="15" t="b">
        <f t="shared" si="11"/>
        <v>1</v>
      </c>
      <c r="AN245" s="31"/>
      <c r="AO245" s="31"/>
      <c r="AP245" s="31"/>
    </row>
    <row r="246" spans="1:42" s="29" customFormat="1" ht="12" customHeight="1" x14ac:dyDescent="0.2">
      <c r="A246" s="1" t="s">
        <v>10</v>
      </c>
      <c r="B246" s="1"/>
      <c r="C246" s="1" t="s">
        <v>739</v>
      </c>
      <c r="D246" s="15"/>
      <c r="E246" s="77">
        <v>249573.62</v>
      </c>
      <c r="F246" s="77"/>
      <c r="G246" s="77">
        <v>0</v>
      </c>
      <c r="H246" s="77"/>
      <c r="I246" s="77">
        <v>166699.87</v>
      </c>
      <c r="J246" s="77"/>
      <c r="K246" s="77">
        <v>0</v>
      </c>
      <c r="L246" s="77"/>
      <c r="M246" s="77">
        <v>49845.32</v>
      </c>
      <c r="N246" s="77"/>
      <c r="O246" s="77">
        <v>27919.34</v>
      </c>
      <c r="P246" s="77"/>
      <c r="Q246" s="77">
        <v>432.63</v>
      </c>
      <c r="R246" s="77"/>
      <c r="S246" s="77">
        <v>14459.04</v>
      </c>
      <c r="T246" s="77"/>
      <c r="U246" s="77">
        <v>0</v>
      </c>
      <c r="V246" s="77"/>
      <c r="W246" s="77">
        <v>0</v>
      </c>
      <c r="X246" s="77"/>
      <c r="Y246" s="77">
        <v>0</v>
      </c>
      <c r="Z246" s="77"/>
      <c r="AA246" s="77">
        <v>0</v>
      </c>
      <c r="AB246" s="77"/>
      <c r="AC246" s="77">
        <v>0</v>
      </c>
      <c r="AD246" s="77"/>
      <c r="AE246" s="77">
        <v>0</v>
      </c>
      <c r="AF246" s="77"/>
      <c r="AG246" s="77">
        <v>599.99</v>
      </c>
      <c r="AH246" s="77"/>
      <c r="AI246" s="77">
        <f t="shared" si="9"/>
        <v>509529.81</v>
      </c>
      <c r="AJ246" s="24"/>
      <c r="AK246" s="15" t="str">
        <f>'Gen Rev'!A246</f>
        <v>Glouster</v>
      </c>
      <c r="AL246" s="15" t="str">
        <f t="shared" si="10"/>
        <v>Glouster</v>
      </c>
      <c r="AM246" s="15" t="b">
        <f t="shared" si="11"/>
        <v>1</v>
      </c>
      <c r="AN246" s="15"/>
      <c r="AO246" s="15"/>
      <c r="AP246" s="15"/>
    </row>
    <row r="247" spans="1:42" ht="12" customHeight="1" x14ac:dyDescent="0.2">
      <c r="A247" s="15" t="s">
        <v>563</v>
      </c>
      <c r="C247" s="15" t="s">
        <v>560</v>
      </c>
      <c r="E247" s="77">
        <f>82065+18580</f>
        <v>100645</v>
      </c>
      <c r="F247" s="77"/>
      <c r="G247" s="77">
        <v>282091</v>
      </c>
      <c r="H247" s="77"/>
      <c r="I247" s="77">
        <f>26152+79021</f>
        <v>105173</v>
      </c>
      <c r="J247" s="77"/>
      <c r="K247" s="77">
        <v>2281</v>
      </c>
      <c r="L247" s="77"/>
      <c r="M247" s="77">
        <f>63261+30212+197009</f>
        <v>290482</v>
      </c>
      <c r="N247" s="77"/>
      <c r="O247" s="77">
        <v>2172</v>
      </c>
      <c r="P247" s="77"/>
      <c r="Q247" s="77">
        <v>1193</v>
      </c>
      <c r="R247" s="77"/>
      <c r="S247" s="77">
        <f>154406+15094</f>
        <v>169500</v>
      </c>
      <c r="T247" s="77"/>
      <c r="U247" s="77">
        <v>0</v>
      </c>
      <c r="V247" s="77"/>
      <c r="W247" s="77">
        <v>0</v>
      </c>
      <c r="X247" s="77"/>
      <c r="Y247" s="77">
        <v>0</v>
      </c>
      <c r="Z247" s="77"/>
      <c r="AA247" s="77">
        <f>136128+85066+34026</f>
        <v>255220</v>
      </c>
      <c r="AB247" s="77"/>
      <c r="AC247" s="77">
        <v>0</v>
      </c>
      <c r="AD247" s="77"/>
      <c r="AE247" s="77">
        <v>0</v>
      </c>
      <c r="AF247" s="77"/>
      <c r="AG247" s="77">
        <v>0</v>
      </c>
      <c r="AH247" s="77"/>
      <c r="AI247" s="77">
        <f t="shared" si="9"/>
        <v>1208757</v>
      </c>
      <c r="AJ247" s="24"/>
      <c r="AK247" s="15" t="str">
        <f>'Gen Rev'!A247</f>
        <v>Gnadenhutten</v>
      </c>
      <c r="AL247" s="15" t="str">
        <f t="shared" si="10"/>
        <v>Gnadenhutten</v>
      </c>
      <c r="AM247" s="15" t="b">
        <f t="shared" si="11"/>
        <v>1</v>
      </c>
      <c r="AN247" s="31"/>
      <c r="AO247" s="31"/>
      <c r="AP247" s="31"/>
    </row>
    <row r="248" spans="1:42" ht="12" customHeight="1" x14ac:dyDescent="0.2">
      <c r="A248" s="15" t="s">
        <v>382</v>
      </c>
      <c r="C248" s="15" t="s">
        <v>378</v>
      </c>
      <c r="E248" s="77">
        <v>1618141</v>
      </c>
      <c r="F248" s="77"/>
      <c r="G248" s="77">
        <v>646491</v>
      </c>
      <c r="H248" s="77"/>
      <c r="I248" s="77">
        <v>265104</v>
      </c>
      <c r="J248" s="77"/>
      <c r="K248" s="77">
        <v>0</v>
      </c>
      <c r="L248" s="77"/>
      <c r="M248" s="77">
        <v>741508</v>
      </c>
      <c r="N248" s="77"/>
      <c r="O248" s="77">
        <v>107846</v>
      </c>
      <c r="P248" s="77"/>
      <c r="Q248" s="77">
        <v>0</v>
      </c>
      <c r="R248" s="77"/>
      <c r="S248" s="77">
        <v>65701</v>
      </c>
      <c r="T248" s="77"/>
      <c r="U248" s="77">
        <v>0</v>
      </c>
      <c r="V248" s="77"/>
      <c r="W248" s="77">
        <v>0</v>
      </c>
      <c r="X248" s="77"/>
      <c r="Y248" s="77">
        <v>2598</v>
      </c>
      <c r="Z248" s="77"/>
      <c r="AA248" s="77">
        <v>615000</v>
      </c>
      <c r="AB248" s="77"/>
      <c r="AC248" s="77">
        <v>0</v>
      </c>
      <c r="AD248" s="77"/>
      <c r="AE248" s="77">
        <v>0</v>
      </c>
      <c r="AF248" s="77"/>
      <c r="AG248" s="77">
        <v>0</v>
      </c>
      <c r="AH248" s="77"/>
      <c r="AI248" s="77">
        <f t="shared" si="9"/>
        <v>4062389</v>
      </c>
      <c r="AJ248" s="24"/>
      <c r="AK248" s="15" t="str">
        <f>'Gen Rev'!A248</f>
        <v>Golf Manor</v>
      </c>
      <c r="AL248" s="15" t="str">
        <f t="shared" si="10"/>
        <v>Golf Manor</v>
      </c>
      <c r="AM248" s="15" t="b">
        <f t="shared" si="11"/>
        <v>1</v>
      </c>
      <c r="AN248" s="31"/>
      <c r="AO248" s="31"/>
      <c r="AP248" s="31"/>
    </row>
    <row r="249" spans="1:42" s="31" customFormat="1" ht="12" customHeight="1" x14ac:dyDescent="0.2">
      <c r="A249" s="15" t="s">
        <v>331</v>
      </c>
      <c r="B249" s="15"/>
      <c r="C249" s="15" t="s">
        <v>329</v>
      </c>
      <c r="D249" s="15"/>
      <c r="E249" s="77">
        <v>10863.37</v>
      </c>
      <c r="F249" s="77"/>
      <c r="G249" s="77">
        <v>0</v>
      </c>
      <c r="H249" s="77"/>
      <c r="I249" s="77">
        <v>32435.75</v>
      </c>
      <c r="J249" s="77"/>
      <c r="K249" s="77">
        <v>0</v>
      </c>
      <c r="L249" s="77"/>
      <c r="M249" s="77">
        <v>0</v>
      </c>
      <c r="N249" s="77"/>
      <c r="O249" s="77">
        <v>0</v>
      </c>
      <c r="P249" s="77"/>
      <c r="Q249" s="77">
        <v>70.72</v>
      </c>
      <c r="R249" s="77"/>
      <c r="S249" s="77">
        <v>0</v>
      </c>
      <c r="T249" s="77"/>
      <c r="U249" s="77">
        <v>0</v>
      </c>
      <c r="V249" s="77"/>
      <c r="W249" s="77">
        <v>0</v>
      </c>
      <c r="X249" s="77"/>
      <c r="Y249" s="77">
        <v>0</v>
      </c>
      <c r="Z249" s="77"/>
      <c r="AA249" s="77">
        <v>0</v>
      </c>
      <c r="AB249" s="77"/>
      <c r="AC249" s="77">
        <v>0</v>
      </c>
      <c r="AD249" s="77"/>
      <c r="AE249" s="77">
        <v>0</v>
      </c>
      <c r="AF249" s="77"/>
      <c r="AG249" s="77">
        <v>0</v>
      </c>
      <c r="AH249" s="77"/>
      <c r="AI249" s="77">
        <f t="shared" si="9"/>
        <v>43369.840000000004</v>
      </c>
      <c r="AJ249" s="24"/>
      <c r="AK249" s="15" t="str">
        <f>'Gen Rev'!A249</f>
        <v>Gordon</v>
      </c>
      <c r="AL249" s="15" t="str">
        <f t="shared" si="10"/>
        <v>Gordon</v>
      </c>
      <c r="AM249" s="15" t="b">
        <f t="shared" si="11"/>
        <v>1</v>
      </c>
    </row>
    <row r="250" spans="1:42" s="31" customFormat="1" ht="12" customHeight="1" x14ac:dyDescent="0.2">
      <c r="A250" s="15" t="s">
        <v>450</v>
      </c>
      <c r="B250" s="15"/>
      <c r="C250" s="15" t="s">
        <v>451</v>
      </c>
      <c r="D250" s="15"/>
      <c r="E250" s="77">
        <v>254657</v>
      </c>
      <c r="F250" s="77"/>
      <c r="G250" s="77">
        <v>1211405</v>
      </c>
      <c r="H250" s="77"/>
      <c r="I250" s="77">
        <v>727281</v>
      </c>
      <c r="J250" s="77"/>
      <c r="K250" s="77">
        <v>2088</v>
      </c>
      <c r="L250" s="77"/>
      <c r="M250" s="77">
        <v>273764</v>
      </c>
      <c r="N250" s="77"/>
      <c r="O250" s="77">
        <v>75983</v>
      </c>
      <c r="P250" s="77"/>
      <c r="Q250" s="77">
        <v>32883</v>
      </c>
      <c r="R250" s="77"/>
      <c r="S250" s="77">
        <v>67297</v>
      </c>
      <c r="T250" s="77"/>
      <c r="U250" s="77">
        <v>0</v>
      </c>
      <c r="V250" s="77"/>
      <c r="W250" s="77">
        <v>0</v>
      </c>
      <c r="X250" s="77"/>
      <c r="Y250" s="77">
        <v>0</v>
      </c>
      <c r="Z250" s="77"/>
      <c r="AA250" s="77">
        <v>148300</v>
      </c>
      <c r="AB250" s="77"/>
      <c r="AC250" s="77">
        <v>0</v>
      </c>
      <c r="AD250" s="77"/>
      <c r="AE250" s="77">
        <v>0</v>
      </c>
      <c r="AF250" s="77"/>
      <c r="AG250" s="77">
        <v>0</v>
      </c>
      <c r="AH250" s="77"/>
      <c r="AI250" s="77">
        <f t="shared" si="9"/>
        <v>2793658</v>
      </c>
      <c r="AJ250" s="24"/>
      <c r="AK250" s="15" t="str">
        <f>'Gen Rev'!A250</f>
        <v>Grafton</v>
      </c>
      <c r="AL250" s="15" t="str">
        <f t="shared" si="10"/>
        <v>Grafton</v>
      </c>
      <c r="AM250" s="15" t="b">
        <f t="shared" si="11"/>
        <v>1</v>
      </c>
      <c r="AN250" s="15"/>
      <c r="AO250" s="15"/>
      <c r="AP250" s="15"/>
    </row>
    <row r="251" spans="1:42" s="31" customFormat="1" ht="12" customHeight="1" x14ac:dyDescent="0.2">
      <c r="A251" s="1" t="s">
        <v>255</v>
      </c>
      <c r="B251" s="1"/>
      <c r="C251" s="1" t="s">
        <v>601</v>
      </c>
      <c r="D251" s="15"/>
      <c r="E251" s="77">
        <v>67572.31</v>
      </c>
      <c r="F251" s="77"/>
      <c r="G251" s="77">
        <v>251090.62</v>
      </c>
      <c r="H251" s="77"/>
      <c r="I251" s="77">
        <v>112735.1</v>
      </c>
      <c r="J251" s="77"/>
      <c r="K251" s="77">
        <v>23811.21</v>
      </c>
      <c r="L251" s="77"/>
      <c r="M251" s="77">
        <v>24162.17</v>
      </c>
      <c r="N251" s="77"/>
      <c r="O251" s="77">
        <v>12648.32</v>
      </c>
      <c r="P251" s="77"/>
      <c r="Q251" s="77">
        <v>19921.41</v>
      </c>
      <c r="R251" s="77"/>
      <c r="S251" s="77">
        <v>14292.86</v>
      </c>
      <c r="T251" s="77"/>
      <c r="U251" s="77">
        <v>0</v>
      </c>
      <c r="V251" s="77"/>
      <c r="W251" s="77">
        <v>0</v>
      </c>
      <c r="X251" s="77"/>
      <c r="Y251" s="77">
        <v>0</v>
      </c>
      <c r="Z251" s="77"/>
      <c r="AA251" s="77">
        <v>256432.68</v>
      </c>
      <c r="AB251" s="77"/>
      <c r="AC251" s="77">
        <v>0</v>
      </c>
      <c r="AD251" s="77"/>
      <c r="AE251" s="77">
        <v>6</v>
      </c>
      <c r="AF251" s="77"/>
      <c r="AG251" s="77">
        <v>0</v>
      </c>
      <c r="AH251" s="77"/>
      <c r="AI251" s="77">
        <f t="shared" si="9"/>
        <v>782672.67999999993</v>
      </c>
      <c r="AJ251" s="24"/>
      <c r="AK251" s="15" t="str">
        <f>'Gen Rev'!A251</f>
        <v>Grand Rapids</v>
      </c>
      <c r="AL251" s="15" t="str">
        <f t="shared" si="10"/>
        <v>Grand Rapids</v>
      </c>
      <c r="AM251" s="15" t="b">
        <f t="shared" si="11"/>
        <v>1</v>
      </c>
      <c r="AN251" s="15"/>
      <c r="AO251" s="15"/>
      <c r="AP251" s="15"/>
    </row>
    <row r="252" spans="1:42" ht="12" customHeight="1" x14ac:dyDescent="0.2">
      <c r="A252" s="15" t="s">
        <v>431</v>
      </c>
      <c r="C252" s="15" t="s">
        <v>430</v>
      </c>
      <c r="E252" s="77">
        <v>66531</v>
      </c>
      <c r="F252" s="77"/>
      <c r="G252" s="77">
        <v>276371</v>
      </c>
      <c r="H252" s="77"/>
      <c r="I252" s="77">
        <f>92025+6784</f>
        <v>98809</v>
      </c>
      <c r="J252" s="77"/>
      <c r="K252" s="77">
        <v>0</v>
      </c>
      <c r="L252" s="77"/>
      <c r="M252" s="77">
        <f>8192-580</f>
        <v>7612</v>
      </c>
      <c r="N252" s="77"/>
      <c r="O252" s="77">
        <f>1205-50+56272-32721</f>
        <v>24706</v>
      </c>
      <c r="P252" s="77"/>
      <c r="Q252" s="77">
        <v>234</v>
      </c>
      <c r="R252" s="77"/>
      <c r="S252" s="77">
        <v>4672</v>
      </c>
      <c r="T252" s="77"/>
      <c r="U252" s="77">
        <v>230000</v>
      </c>
      <c r="V252" s="77"/>
      <c r="W252" s="77">
        <v>0</v>
      </c>
      <c r="X252" s="77"/>
      <c r="Y252" s="77">
        <v>0</v>
      </c>
      <c r="Z252" s="77"/>
      <c r="AA252" s="77">
        <v>0</v>
      </c>
      <c r="AB252" s="77"/>
      <c r="AC252" s="77">
        <v>0</v>
      </c>
      <c r="AD252" s="77"/>
      <c r="AE252" s="77">
        <v>0</v>
      </c>
      <c r="AF252" s="77"/>
      <c r="AG252" s="77">
        <v>0</v>
      </c>
      <c r="AH252" s="77"/>
      <c r="AI252" s="77">
        <f t="shared" si="9"/>
        <v>708935</v>
      </c>
      <c r="AJ252" s="24"/>
      <c r="AK252" s="15" t="str">
        <f>'Gen Rev'!A252</f>
        <v>Grand River</v>
      </c>
      <c r="AL252" s="15" t="str">
        <f t="shared" si="10"/>
        <v>Grand River</v>
      </c>
      <c r="AM252" s="15" t="b">
        <f t="shared" si="11"/>
        <v>1</v>
      </c>
      <c r="AN252" s="31"/>
      <c r="AO252" s="31"/>
      <c r="AP252" s="31"/>
    </row>
    <row r="253" spans="1:42" ht="12" customHeight="1" x14ac:dyDescent="0.2">
      <c r="A253" s="15" t="s">
        <v>438</v>
      </c>
      <c r="C253" s="15" t="s">
        <v>439</v>
      </c>
      <c r="E253" s="77">
        <v>3431897</v>
      </c>
      <c r="F253" s="77"/>
      <c r="G253" s="77">
        <v>0</v>
      </c>
      <c r="H253" s="77"/>
      <c r="I253" s="77">
        <v>408859</v>
      </c>
      <c r="J253" s="77"/>
      <c r="K253" s="77">
        <v>18955</v>
      </c>
      <c r="L253" s="77"/>
      <c r="M253" s="77">
        <v>0</v>
      </c>
      <c r="N253" s="77"/>
      <c r="O253" s="77">
        <v>145552</v>
      </c>
      <c r="P253" s="77"/>
      <c r="Q253" s="77">
        <v>13226</v>
      </c>
      <c r="R253" s="77"/>
      <c r="S253" s="77">
        <v>126882</v>
      </c>
      <c r="T253" s="77"/>
      <c r="U253" s="77">
        <v>0</v>
      </c>
      <c r="V253" s="77"/>
      <c r="W253" s="77">
        <v>0</v>
      </c>
      <c r="X253" s="77"/>
      <c r="Y253" s="77">
        <v>0</v>
      </c>
      <c r="Z253" s="77"/>
      <c r="AA253" s="77">
        <v>699277</v>
      </c>
      <c r="AB253" s="77"/>
      <c r="AC253" s="77">
        <v>0</v>
      </c>
      <c r="AD253" s="77"/>
      <c r="AE253" s="77">
        <v>0</v>
      </c>
      <c r="AF253" s="77"/>
      <c r="AG253" s="77">
        <v>0</v>
      </c>
      <c r="AH253" s="77"/>
      <c r="AI253" s="77">
        <f t="shared" si="9"/>
        <v>4844648</v>
      </c>
      <c r="AJ253" s="24"/>
      <c r="AK253" s="15" t="str">
        <f>'Gen Rev'!A253</f>
        <v>Granville</v>
      </c>
      <c r="AL253" s="15" t="str">
        <f t="shared" si="10"/>
        <v>Granville</v>
      </c>
      <c r="AM253" s="15" t="b">
        <f t="shared" si="11"/>
        <v>1</v>
      </c>
      <c r="AN253" s="31"/>
      <c r="AO253" s="31"/>
      <c r="AP253" s="31"/>
    </row>
    <row r="254" spans="1:42" s="31" customFormat="1" ht="12" customHeight="1" x14ac:dyDescent="0.2">
      <c r="A254" s="15" t="s">
        <v>440</v>
      </c>
      <c r="B254" s="15"/>
      <c r="C254" s="15" t="s">
        <v>439</v>
      </c>
      <c r="D254" s="15"/>
      <c r="E254" s="77">
        <v>2988</v>
      </c>
      <c r="F254" s="77"/>
      <c r="G254" s="77">
        <v>0</v>
      </c>
      <c r="H254" s="77"/>
      <c r="I254" s="77">
        <f>14081+9448</f>
        <v>23529</v>
      </c>
      <c r="J254" s="77"/>
      <c r="K254" s="77">
        <v>0</v>
      </c>
      <c r="L254" s="77"/>
      <c r="M254" s="77">
        <v>0</v>
      </c>
      <c r="N254" s="77"/>
      <c r="O254" s="77">
        <v>0</v>
      </c>
      <c r="P254" s="77"/>
      <c r="Q254" s="77">
        <v>0</v>
      </c>
      <c r="R254" s="77"/>
      <c r="S254" s="77">
        <f>55+18</f>
        <v>73</v>
      </c>
      <c r="T254" s="77"/>
      <c r="U254" s="77">
        <v>0</v>
      </c>
      <c r="V254" s="77"/>
      <c r="W254" s="77">
        <v>0</v>
      </c>
      <c r="X254" s="77"/>
      <c r="Y254" s="77">
        <v>0</v>
      </c>
      <c r="Z254" s="77"/>
      <c r="AA254" s="77">
        <v>0</v>
      </c>
      <c r="AB254" s="77"/>
      <c r="AC254" s="77">
        <v>0</v>
      </c>
      <c r="AD254" s="77"/>
      <c r="AE254" s="77">
        <v>0</v>
      </c>
      <c r="AF254" s="77"/>
      <c r="AG254" s="77">
        <v>0</v>
      </c>
      <c r="AH254" s="77"/>
      <c r="AI254" s="77">
        <f t="shared" si="9"/>
        <v>26590</v>
      </c>
      <c r="AJ254" s="24"/>
      <c r="AK254" s="15" t="str">
        <f>'Gen Rev'!A254</f>
        <v>Gratiot</v>
      </c>
      <c r="AL254" s="15" t="str">
        <f t="shared" si="10"/>
        <v>Gratiot</v>
      </c>
      <c r="AM254" s="15" t="b">
        <f t="shared" si="11"/>
        <v>1</v>
      </c>
    </row>
    <row r="255" spans="1:42" s="31" customFormat="1" ht="12" customHeight="1" x14ac:dyDescent="0.2">
      <c r="A255" s="1" t="s">
        <v>201</v>
      </c>
      <c r="B255" s="1"/>
      <c r="C255" s="1" t="s">
        <v>796</v>
      </c>
      <c r="D255" s="15"/>
      <c r="E255" s="77">
        <v>67701.77</v>
      </c>
      <c r="F255" s="77"/>
      <c r="G255" s="77">
        <v>0</v>
      </c>
      <c r="H255" s="77"/>
      <c r="I255" s="77">
        <v>71507.86</v>
      </c>
      <c r="J255" s="77"/>
      <c r="K255" s="77">
        <v>0</v>
      </c>
      <c r="L255" s="77"/>
      <c r="M255" s="77">
        <v>308097</v>
      </c>
      <c r="N255" s="77"/>
      <c r="O255" s="77">
        <v>60203.58</v>
      </c>
      <c r="P255" s="77"/>
      <c r="Q255" s="77">
        <v>473.79</v>
      </c>
      <c r="R255" s="77"/>
      <c r="S255" s="77">
        <v>21473.51</v>
      </c>
      <c r="T255" s="77"/>
      <c r="U255" s="77">
        <v>0</v>
      </c>
      <c r="V255" s="77"/>
      <c r="W255" s="77">
        <v>0</v>
      </c>
      <c r="X255" s="77"/>
      <c r="Y255" s="77">
        <v>0</v>
      </c>
      <c r="Z255" s="77"/>
      <c r="AA255" s="77">
        <v>0</v>
      </c>
      <c r="AB255" s="77"/>
      <c r="AC255" s="77">
        <v>0</v>
      </c>
      <c r="AD255" s="77"/>
      <c r="AE255" s="77">
        <v>400</v>
      </c>
      <c r="AF255" s="77"/>
      <c r="AG255" s="77">
        <v>0</v>
      </c>
      <c r="AH255" s="77"/>
      <c r="AI255" s="77">
        <f t="shared" si="9"/>
        <v>529857.51</v>
      </c>
      <c r="AJ255" s="24"/>
      <c r="AK255" s="15" t="str">
        <f>'Gen Rev'!A255</f>
        <v>Gratis</v>
      </c>
      <c r="AL255" s="15" t="str">
        <f t="shared" si="10"/>
        <v>Gratis</v>
      </c>
      <c r="AM255" s="15" t="b">
        <f t="shared" si="11"/>
        <v>1</v>
      </c>
      <c r="AN255" s="32"/>
      <c r="AO255" s="32"/>
      <c r="AP255" s="32"/>
    </row>
    <row r="256" spans="1:42" s="31" customFormat="1" ht="12" customHeight="1" x14ac:dyDescent="0.2">
      <c r="A256" s="15" t="s">
        <v>475</v>
      </c>
      <c r="B256" s="15"/>
      <c r="C256" s="15" t="s">
        <v>474</v>
      </c>
      <c r="D256" s="15"/>
      <c r="E256" s="77">
        <v>2189</v>
      </c>
      <c r="F256" s="77"/>
      <c r="G256" s="77">
        <v>0</v>
      </c>
      <c r="H256" s="77"/>
      <c r="I256" s="77">
        <v>8262</v>
      </c>
      <c r="J256" s="77"/>
      <c r="K256" s="77">
        <v>0</v>
      </c>
      <c r="L256" s="77"/>
      <c r="M256" s="77">
        <v>0</v>
      </c>
      <c r="N256" s="77"/>
      <c r="O256" s="77">
        <v>0</v>
      </c>
      <c r="P256" s="77"/>
      <c r="Q256" s="77">
        <v>25</v>
      </c>
      <c r="R256" s="77"/>
      <c r="S256" s="77">
        <v>0</v>
      </c>
      <c r="T256" s="77"/>
      <c r="U256" s="77">
        <v>0</v>
      </c>
      <c r="V256" s="77"/>
      <c r="W256" s="77">
        <v>0</v>
      </c>
      <c r="X256" s="77"/>
      <c r="Y256" s="77">
        <v>0</v>
      </c>
      <c r="Z256" s="77"/>
      <c r="AA256" s="77">
        <v>0</v>
      </c>
      <c r="AB256" s="77"/>
      <c r="AC256" s="77">
        <v>0</v>
      </c>
      <c r="AD256" s="77"/>
      <c r="AE256" s="77">
        <v>0</v>
      </c>
      <c r="AF256" s="77"/>
      <c r="AG256" s="77">
        <v>0</v>
      </c>
      <c r="AH256" s="77"/>
      <c r="AI256" s="77">
        <f t="shared" si="9"/>
        <v>10476</v>
      </c>
      <c r="AJ256" s="37"/>
      <c r="AK256" s="15" t="str">
        <f>'Gen Rev'!A256</f>
        <v>Graysville</v>
      </c>
      <c r="AL256" s="15" t="str">
        <f t="shared" si="10"/>
        <v>Graysville</v>
      </c>
      <c r="AM256" s="15" t="b">
        <f t="shared" si="11"/>
        <v>1</v>
      </c>
      <c r="AN256" s="15"/>
      <c r="AO256" s="15"/>
      <c r="AP256" s="15"/>
    </row>
    <row r="257" spans="1:42" s="31" customFormat="1" ht="12" customHeight="1" x14ac:dyDescent="0.2">
      <c r="A257" s="1" t="s">
        <v>148</v>
      </c>
      <c r="B257" s="1"/>
      <c r="C257" s="1" t="s">
        <v>463</v>
      </c>
      <c r="D257" s="15"/>
      <c r="E257" s="77">
        <v>31366.44</v>
      </c>
      <c r="F257" s="77"/>
      <c r="G257" s="77">
        <v>0</v>
      </c>
      <c r="H257" s="77"/>
      <c r="I257" s="77">
        <v>23838.95</v>
      </c>
      <c r="J257" s="77"/>
      <c r="K257" s="77">
        <v>0</v>
      </c>
      <c r="L257" s="77"/>
      <c r="M257" s="77">
        <v>1186.99</v>
      </c>
      <c r="N257" s="77"/>
      <c r="O257" s="77">
        <v>1000</v>
      </c>
      <c r="P257" s="77"/>
      <c r="Q257" s="77">
        <v>108.34</v>
      </c>
      <c r="R257" s="77"/>
      <c r="S257" s="77">
        <v>123</v>
      </c>
      <c r="T257" s="77"/>
      <c r="U257" s="77">
        <v>0</v>
      </c>
      <c r="V257" s="77"/>
      <c r="W257" s="77">
        <v>0</v>
      </c>
      <c r="X257" s="77"/>
      <c r="Y257" s="77">
        <v>0</v>
      </c>
      <c r="Z257" s="77"/>
      <c r="AA257" s="77">
        <v>0</v>
      </c>
      <c r="AB257" s="77"/>
      <c r="AC257" s="77">
        <v>0</v>
      </c>
      <c r="AD257" s="77"/>
      <c r="AE257" s="77">
        <v>0</v>
      </c>
      <c r="AF257" s="77"/>
      <c r="AG257" s="77">
        <v>0</v>
      </c>
      <c r="AH257" s="77"/>
      <c r="AI257" s="77">
        <f t="shared" si="9"/>
        <v>57623.719999999994</v>
      </c>
      <c r="AJ257" s="24"/>
      <c r="AK257" s="15" t="str">
        <f>'Gen Rev'!A257</f>
        <v>Green Camp</v>
      </c>
      <c r="AL257" s="15" t="str">
        <f t="shared" si="10"/>
        <v>Green Camp</v>
      </c>
      <c r="AM257" s="15" t="b">
        <f t="shared" si="11"/>
        <v>1</v>
      </c>
      <c r="AN257" s="15"/>
      <c r="AO257" s="15"/>
      <c r="AP257" s="15"/>
    </row>
    <row r="258" spans="1:42" s="37" customFormat="1" ht="12" customHeight="1" x14ac:dyDescent="0.2">
      <c r="A258" s="1" t="s">
        <v>219</v>
      </c>
      <c r="B258" s="1"/>
      <c r="C258" s="1" t="s">
        <v>802</v>
      </c>
      <c r="D258" s="15"/>
      <c r="E258" s="77">
        <v>82219.48</v>
      </c>
      <c r="F258" s="77"/>
      <c r="G258" s="77">
        <v>261225.57</v>
      </c>
      <c r="H258" s="77"/>
      <c r="I258" s="77">
        <v>333315.42</v>
      </c>
      <c r="J258" s="77"/>
      <c r="K258" s="77">
        <v>0</v>
      </c>
      <c r="L258" s="77"/>
      <c r="M258" s="77">
        <v>2779.75</v>
      </c>
      <c r="N258" s="77"/>
      <c r="O258" s="77">
        <v>14437.51</v>
      </c>
      <c r="P258" s="77"/>
      <c r="Q258" s="77">
        <v>1223.32</v>
      </c>
      <c r="R258" s="77"/>
      <c r="S258" s="77">
        <v>19783.61</v>
      </c>
      <c r="T258" s="77"/>
      <c r="U258" s="77">
        <v>0</v>
      </c>
      <c r="V258" s="77"/>
      <c r="W258" s="77">
        <v>0</v>
      </c>
      <c r="X258" s="77"/>
      <c r="Y258" s="77">
        <v>0</v>
      </c>
      <c r="Z258" s="77"/>
      <c r="AA258" s="77">
        <v>81500</v>
      </c>
      <c r="AB258" s="77"/>
      <c r="AC258" s="77">
        <v>0</v>
      </c>
      <c r="AD258" s="77"/>
      <c r="AE258" s="77">
        <v>0</v>
      </c>
      <c r="AF258" s="77"/>
      <c r="AG258" s="77">
        <v>450</v>
      </c>
      <c r="AH258" s="77"/>
      <c r="AI258" s="77">
        <f t="shared" si="9"/>
        <v>796934.65999999992</v>
      </c>
      <c r="AJ258" s="24"/>
      <c r="AK258" s="15" t="str">
        <f>'Gen Rev'!A258</f>
        <v>Green Springs</v>
      </c>
      <c r="AL258" s="15" t="str">
        <f t="shared" si="10"/>
        <v>Green Springs</v>
      </c>
      <c r="AM258" s="15" t="b">
        <f t="shared" si="11"/>
        <v>1</v>
      </c>
      <c r="AN258" s="15"/>
      <c r="AO258" s="15"/>
      <c r="AP258" s="15"/>
    </row>
    <row r="259" spans="1:42" ht="12" customHeight="1" x14ac:dyDescent="0.2">
      <c r="A259" s="15" t="s">
        <v>946</v>
      </c>
      <c r="C259" s="15" t="s">
        <v>409</v>
      </c>
      <c r="E259" s="77">
        <v>107598</v>
      </c>
      <c r="F259" s="77"/>
      <c r="G259" s="77">
        <v>1213287</v>
      </c>
      <c r="H259" s="77"/>
      <c r="I259" s="77">
        <v>668488</v>
      </c>
      <c r="J259" s="77"/>
      <c r="K259" s="77">
        <v>0</v>
      </c>
      <c r="L259" s="77"/>
      <c r="M259" s="77">
        <f>116828-2080</f>
        <v>114748</v>
      </c>
      <c r="N259" s="77"/>
      <c r="O259" s="77">
        <v>46383</v>
      </c>
      <c r="P259" s="77"/>
      <c r="Q259" s="77">
        <f>9390-285</f>
        <v>9105</v>
      </c>
      <c r="R259" s="77"/>
      <c r="S259" s="77">
        <v>37721</v>
      </c>
      <c r="T259" s="77"/>
      <c r="U259" s="77">
        <v>0</v>
      </c>
      <c r="V259" s="77"/>
      <c r="W259" s="77">
        <v>500000</v>
      </c>
      <c r="X259" s="77"/>
      <c r="Y259" s="77">
        <v>0</v>
      </c>
      <c r="Z259" s="77"/>
      <c r="AA259" s="77">
        <v>0</v>
      </c>
      <c r="AB259" s="77"/>
      <c r="AC259" s="77">
        <v>0</v>
      </c>
      <c r="AD259" s="77"/>
      <c r="AE259" s="77">
        <v>0</v>
      </c>
      <c r="AF259" s="77"/>
      <c r="AG259" s="77">
        <v>0</v>
      </c>
      <c r="AH259" s="77"/>
      <c r="AI259" s="77">
        <f t="shared" si="9"/>
        <v>2697330</v>
      </c>
      <c r="AJ259" s="24"/>
      <c r="AK259" s="15" t="str">
        <f>'Gen Rev'!A259</f>
        <v>Greenfield</v>
      </c>
      <c r="AL259" s="15" t="str">
        <f t="shared" si="10"/>
        <v>Greenfield</v>
      </c>
      <c r="AM259" s="15" t="b">
        <f t="shared" si="11"/>
        <v>1</v>
      </c>
    </row>
    <row r="260" spans="1:42" ht="12" customHeight="1" x14ac:dyDescent="0.2">
      <c r="A260" s="1" t="s">
        <v>94</v>
      </c>
      <c r="B260" s="1"/>
      <c r="C260" s="1" t="s">
        <v>763</v>
      </c>
      <c r="E260" s="77">
        <v>1262363.1100000001</v>
      </c>
      <c r="F260" s="77"/>
      <c r="G260" s="77">
        <v>1010348.52</v>
      </c>
      <c r="H260" s="77"/>
      <c r="I260" s="77">
        <v>1190092.3700000001</v>
      </c>
      <c r="J260" s="77"/>
      <c r="K260" s="77">
        <v>37795.599999999999</v>
      </c>
      <c r="L260" s="77"/>
      <c r="M260" s="77">
        <v>511802.17</v>
      </c>
      <c r="N260" s="77"/>
      <c r="O260" s="77">
        <v>127994.44</v>
      </c>
      <c r="P260" s="77"/>
      <c r="Q260" s="77">
        <v>590.08000000000004</v>
      </c>
      <c r="R260" s="77"/>
      <c r="S260" s="77">
        <v>849159.26</v>
      </c>
      <c r="T260" s="77"/>
      <c r="U260" s="77">
        <v>0</v>
      </c>
      <c r="V260" s="77"/>
      <c r="W260" s="77">
        <v>0</v>
      </c>
      <c r="X260" s="77"/>
      <c r="Y260" s="77">
        <v>189310</v>
      </c>
      <c r="Z260" s="77"/>
      <c r="AA260" s="77">
        <v>363175</v>
      </c>
      <c r="AB260" s="77"/>
      <c r="AC260" s="77">
        <v>90000</v>
      </c>
      <c r="AD260" s="77"/>
      <c r="AE260" s="77">
        <v>985000</v>
      </c>
      <c r="AF260" s="77"/>
      <c r="AG260" s="77">
        <v>0</v>
      </c>
      <c r="AH260" s="77"/>
      <c r="AI260" s="77">
        <f t="shared" si="9"/>
        <v>6617630.5499999998</v>
      </c>
      <c r="AJ260" s="24"/>
      <c r="AK260" s="15" t="str">
        <f>'Gen Rev'!A260</f>
        <v>Greenhills</v>
      </c>
      <c r="AL260" s="15" t="str">
        <f t="shared" si="10"/>
        <v>Greenhills</v>
      </c>
      <c r="AM260" s="15" t="b">
        <f t="shared" si="11"/>
        <v>1</v>
      </c>
      <c r="AN260" s="31"/>
      <c r="AO260" s="31"/>
      <c r="AP260" s="31"/>
    </row>
    <row r="261" spans="1:42" ht="12" customHeight="1" x14ac:dyDescent="0.2">
      <c r="A261" s="1" t="s">
        <v>113</v>
      </c>
      <c r="B261" s="1"/>
      <c r="C261" s="1" t="s">
        <v>769</v>
      </c>
      <c r="E261" s="77">
        <v>142605.54999999999</v>
      </c>
      <c r="F261" s="77"/>
      <c r="G261" s="77">
        <v>186989.59</v>
      </c>
      <c r="H261" s="77"/>
      <c r="I261" s="77">
        <v>153162.39000000001</v>
      </c>
      <c r="J261" s="77"/>
      <c r="K261" s="77">
        <v>0</v>
      </c>
      <c r="L261" s="77"/>
      <c r="M261" s="77">
        <v>5030</v>
      </c>
      <c r="N261" s="77"/>
      <c r="O261" s="77">
        <v>27005.119999999999</v>
      </c>
      <c r="P261" s="77"/>
      <c r="Q261" s="77">
        <v>3975.24</v>
      </c>
      <c r="R261" s="77"/>
      <c r="S261" s="77">
        <v>5760.47</v>
      </c>
      <c r="T261" s="77"/>
      <c r="U261" s="77">
        <v>0</v>
      </c>
      <c r="V261" s="77"/>
      <c r="W261" s="77">
        <v>0</v>
      </c>
      <c r="X261" s="77"/>
      <c r="Y261" s="77">
        <v>0</v>
      </c>
      <c r="Z261" s="77"/>
      <c r="AA261" s="77">
        <v>202009.01</v>
      </c>
      <c r="AB261" s="77"/>
      <c r="AC261" s="77">
        <v>0</v>
      </c>
      <c r="AD261" s="77"/>
      <c r="AE261" s="77">
        <v>1</v>
      </c>
      <c r="AF261" s="77"/>
      <c r="AG261" s="77">
        <v>0</v>
      </c>
      <c r="AH261" s="77"/>
      <c r="AI261" s="77">
        <f t="shared" si="9"/>
        <v>726538.37</v>
      </c>
      <c r="AJ261" s="24"/>
      <c r="AK261" s="15" t="str">
        <f>'Gen Rev'!A261</f>
        <v>Greenwich</v>
      </c>
      <c r="AL261" s="15" t="str">
        <f t="shared" si="10"/>
        <v>Greenwich</v>
      </c>
      <c r="AM261" s="15" t="b">
        <f t="shared" si="11"/>
        <v>1</v>
      </c>
      <c r="AN261" s="31"/>
      <c r="AO261" s="31"/>
      <c r="AP261" s="31"/>
    </row>
    <row r="262" spans="1:42" ht="12" hidden="1" customHeight="1" x14ac:dyDescent="0.2">
      <c r="A262" s="1" t="s">
        <v>354</v>
      </c>
      <c r="B262" s="1"/>
      <c r="C262" s="1" t="s">
        <v>353</v>
      </c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>
        <f t="shared" si="9"/>
        <v>0</v>
      </c>
      <c r="AJ262" s="24"/>
      <c r="AK262" s="15" t="str">
        <f>'Gen Rev'!A262</f>
        <v>Groveport</v>
      </c>
      <c r="AL262" s="15" t="str">
        <f t="shared" si="10"/>
        <v>Groveport</v>
      </c>
      <c r="AM262" s="15" t="b">
        <f t="shared" si="11"/>
        <v>1</v>
      </c>
    </row>
    <row r="263" spans="1:42" ht="12" customHeight="1" x14ac:dyDescent="0.2">
      <c r="A263" s="15" t="s">
        <v>686</v>
      </c>
      <c r="C263" s="15" t="s">
        <v>496</v>
      </c>
      <c r="E263" s="77">
        <v>27354</v>
      </c>
      <c r="F263" s="77"/>
      <c r="G263" s="77">
        <v>0</v>
      </c>
      <c r="H263" s="77"/>
      <c r="I263" s="77">
        <v>39596</v>
      </c>
      <c r="J263" s="77"/>
      <c r="K263" s="77">
        <v>0</v>
      </c>
      <c r="L263" s="77"/>
      <c r="M263" s="77">
        <v>34091</v>
      </c>
      <c r="N263" s="77"/>
      <c r="O263" s="77">
        <v>2110</v>
      </c>
      <c r="P263" s="77"/>
      <c r="Q263" s="77">
        <v>0</v>
      </c>
      <c r="R263" s="77"/>
      <c r="S263" s="77">
        <v>15992</v>
      </c>
      <c r="T263" s="77"/>
      <c r="U263" s="77">
        <v>0</v>
      </c>
      <c r="V263" s="77"/>
      <c r="W263" s="77">
        <v>0</v>
      </c>
      <c r="X263" s="77"/>
      <c r="Y263" s="77">
        <v>0</v>
      </c>
      <c r="Z263" s="77"/>
      <c r="AA263" s="77">
        <v>0</v>
      </c>
      <c r="AB263" s="77"/>
      <c r="AC263" s="77">
        <v>0</v>
      </c>
      <c r="AD263" s="77"/>
      <c r="AE263" s="77">
        <v>0</v>
      </c>
      <c r="AF263" s="77"/>
      <c r="AG263" s="77">
        <v>0</v>
      </c>
      <c r="AH263" s="77"/>
      <c r="AI263" s="77">
        <f t="shared" si="9"/>
        <v>119143</v>
      </c>
      <c r="AJ263" s="24"/>
      <c r="AK263" s="15" t="str">
        <f>'Gen Rev'!A263</f>
        <v>Grower Hill</v>
      </c>
      <c r="AL263" s="15" t="str">
        <f t="shared" si="10"/>
        <v>Grower Hill</v>
      </c>
      <c r="AM263" s="15" t="b">
        <f t="shared" si="11"/>
        <v>1</v>
      </c>
    </row>
    <row r="264" spans="1:42" ht="12" customHeight="1" x14ac:dyDescent="0.2">
      <c r="A264" s="1" t="s">
        <v>365</v>
      </c>
      <c r="B264" s="1"/>
      <c r="C264" s="1" t="s">
        <v>82</v>
      </c>
      <c r="E264" s="77">
        <v>45091.02</v>
      </c>
      <c r="F264" s="77"/>
      <c r="G264" s="77">
        <v>0</v>
      </c>
      <c r="H264" s="77"/>
      <c r="I264" s="77">
        <v>106437.1</v>
      </c>
      <c r="J264" s="77"/>
      <c r="K264" s="77">
        <v>0</v>
      </c>
      <c r="L264" s="77"/>
      <c r="M264" s="77">
        <v>12970</v>
      </c>
      <c r="N264" s="77"/>
      <c r="O264" s="77">
        <v>250</v>
      </c>
      <c r="P264" s="77"/>
      <c r="Q264" s="77">
        <v>1598.96</v>
      </c>
      <c r="R264" s="77"/>
      <c r="S264" s="77">
        <v>3345.95</v>
      </c>
      <c r="T264" s="77"/>
      <c r="U264" s="77">
        <v>0</v>
      </c>
      <c r="V264" s="77"/>
      <c r="W264" s="77">
        <v>0</v>
      </c>
      <c r="X264" s="77"/>
      <c r="Y264" s="77">
        <v>0</v>
      </c>
      <c r="Z264" s="77"/>
      <c r="AA264" s="77">
        <v>0</v>
      </c>
      <c r="AB264" s="77"/>
      <c r="AC264" s="77">
        <v>0</v>
      </c>
      <c r="AD264" s="77"/>
      <c r="AE264" s="77">
        <v>0</v>
      </c>
      <c r="AF264" s="77"/>
      <c r="AG264" s="77">
        <v>0</v>
      </c>
      <c r="AH264" s="77"/>
      <c r="AI264" s="77">
        <f t="shared" si="9"/>
        <v>169693.03</v>
      </c>
      <c r="AJ264" s="24"/>
      <c r="AK264" s="15" t="str">
        <f>'Gen Rev'!A264</f>
        <v>Hamden</v>
      </c>
      <c r="AL264" s="15" t="str">
        <f t="shared" si="10"/>
        <v>Hamden</v>
      </c>
      <c r="AM264" s="15" t="b">
        <f t="shared" si="11"/>
        <v>1</v>
      </c>
    </row>
    <row r="265" spans="1:42" s="31" customFormat="1" ht="12" customHeight="1" x14ac:dyDescent="0.2">
      <c r="A265" s="1" t="s">
        <v>23</v>
      </c>
      <c r="B265" s="1"/>
      <c r="C265" s="1" t="s">
        <v>742</v>
      </c>
      <c r="D265" s="15"/>
      <c r="E265" s="77">
        <v>14894.84</v>
      </c>
      <c r="F265" s="77"/>
      <c r="G265" s="77">
        <v>0</v>
      </c>
      <c r="H265" s="77"/>
      <c r="I265" s="77">
        <v>31028.04</v>
      </c>
      <c r="J265" s="77"/>
      <c r="K265" s="77">
        <v>0</v>
      </c>
      <c r="L265" s="77"/>
      <c r="M265" s="77">
        <v>0</v>
      </c>
      <c r="N265" s="77"/>
      <c r="O265" s="77">
        <v>11411.99</v>
      </c>
      <c r="P265" s="77"/>
      <c r="Q265" s="77">
        <v>582.83000000000004</v>
      </c>
      <c r="R265" s="77"/>
      <c r="S265" s="77">
        <v>15400.72</v>
      </c>
      <c r="T265" s="77"/>
      <c r="U265" s="77">
        <v>0</v>
      </c>
      <c r="V265" s="77"/>
      <c r="W265" s="77">
        <v>0</v>
      </c>
      <c r="X265" s="77"/>
      <c r="Y265" s="77">
        <v>0</v>
      </c>
      <c r="Z265" s="77"/>
      <c r="AA265" s="77">
        <v>77393.759999999995</v>
      </c>
      <c r="AB265" s="77"/>
      <c r="AC265" s="77">
        <v>0</v>
      </c>
      <c r="AD265" s="77"/>
      <c r="AE265" s="77">
        <v>0</v>
      </c>
      <c r="AF265" s="77"/>
      <c r="AG265" s="77">
        <v>0</v>
      </c>
      <c r="AH265" s="77"/>
      <c r="AI265" s="77">
        <f t="shared" si="9"/>
        <v>150712.18</v>
      </c>
      <c r="AJ265" s="24"/>
      <c r="AK265" s="15" t="str">
        <f>'Gen Rev'!A265</f>
        <v>Hamersville</v>
      </c>
      <c r="AL265" s="15" t="str">
        <f t="shared" si="10"/>
        <v>Hamersville</v>
      </c>
      <c r="AM265" s="15" t="b">
        <f t="shared" si="11"/>
        <v>1</v>
      </c>
      <c r="AN265" s="15"/>
      <c r="AO265" s="15"/>
      <c r="AP265" s="15"/>
    </row>
    <row r="266" spans="1:42" ht="12" customHeight="1" x14ac:dyDescent="0.2">
      <c r="A266" s="1" t="s">
        <v>924</v>
      </c>
      <c r="B266" s="1"/>
      <c r="C266" s="1" t="s">
        <v>407</v>
      </c>
      <c r="E266" s="77">
        <v>8341.99</v>
      </c>
      <c r="F266" s="77"/>
      <c r="G266" s="77">
        <v>87143.39</v>
      </c>
      <c r="H266" s="77"/>
      <c r="I266" s="77">
        <v>47607.48</v>
      </c>
      <c r="J266" s="77"/>
      <c r="K266" s="77">
        <v>0</v>
      </c>
      <c r="L266" s="77"/>
      <c r="M266" s="77">
        <v>13177.78</v>
      </c>
      <c r="N266" s="77"/>
      <c r="O266" s="77">
        <v>2493.5500000000002</v>
      </c>
      <c r="P266" s="77"/>
      <c r="Q266" s="77">
        <v>2396.11</v>
      </c>
      <c r="R266" s="77"/>
      <c r="S266" s="77">
        <v>17977.8</v>
      </c>
      <c r="T266" s="77"/>
      <c r="U266" s="77">
        <v>0</v>
      </c>
      <c r="V266" s="77"/>
      <c r="W266" s="77">
        <v>0</v>
      </c>
      <c r="X266" s="77"/>
      <c r="Y266" s="77">
        <v>0</v>
      </c>
      <c r="Z266" s="77"/>
      <c r="AA266" s="77">
        <v>0</v>
      </c>
      <c r="AB266" s="77"/>
      <c r="AC266" s="77">
        <v>0</v>
      </c>
      <c r="AD266" s="77"/>
      <c r="AE266" s="77">
        <v>0</v>
      </c>
      <c r="AF266" s="77"/>
      <c r="AG266" s="77">
        <v>0</v>
      </c>
      <c r="AH266" s="77"/>
      <c r="AI266" s="77">
        <f t="shared" si="9"/>
        <v>179138.09999999998</v>
      </c>
      <c r="AJ266" s="24"/>
      <c r="AK266" s="15" t="str">
        <f>'Gen Rev'!A266</f>
        <v>Hamler</v>
      </c>
      <c r="AL266" s="15" t="str">
        <f t="shared" si="10"/>
        <v>Hamler</v>
      </c>
      <c r="AM266" s="15" t="b">
        <f t="shared" si="11"/>
        <v>1</v>
      </c>
    </row>
    <row r="267" spans="1:42" ht="12" customHeight="1" x14ac:dyDescent="0.2">
      <c r="A267" s="1" t="s">
        <v>126</v>
      </c>
      <c r="B267" s="1"/>
      <c r="C267" s="1" t="s">
        <v>773</v>
      </c>
      <c r="E267" s="77">
        <v>3800.45</v>
      </c>
      <c r="F267" s="77"/>
      <c r="G267" s="77">
        <v>0</v>
      </c>
      <c r="H267" s="77"/>
      <c r="I267" s="77">
        <v>48682.49</v>
      </c>
      <c r="J267" s="77"/>
      <c r="K267" s="77">
        <v>0</v>
      </c>
      <c r="L267" s="77"/>
      <c r="M267" s="77">
        <v>0</v>
      </c>
      <c r="N267" s="77"/>
      <c r="O267" s="77">
        <v>268777.83</v>
      </c>
      <c r="P267" s="77"/>
      <c r="Q267" s="77">
        <v>55.68</v>
      </c>
      <c r="R267" s="77"/>
      <c r="S267" s="77">
        <v>24523.3</v>
      </c>
      <c r="T267" s="77"/>
      <c r="U267" s="77">
        <v>0</v>
      </c>
      <c r="V267" s="77"/>
      <c r="W267" s="77">
        <v>0</v>
      </c>
      <c r="X267" s="77"/>
      <c r="Y267" s="77">
        <v>0</v>
      </c>
      <c r="Z267" s="77"/>
      <c r="AA267" s="77">
        <v>0</v>
      </c>
      <c r="AB267" s="77"/>
      <c r="AC267" s="77">
        <v>0</v>
      </c>
      <c r="AD267" s="77"/>
      <c r="AE267" s="77">
        <v>4111</v>
      </c>
      <c r="AF267" s="77"/>
      <c r="AG267" s="77">
        <v>18971</v>
      </c>
      <c r="AH267" s="77"/>
      <c r="AI267" s="77">
        <f t="shared" si="9"/>
        <v>368921.75</v>
      </c>
      <c r="AJ267" s="24"/>
      <c r="AK267" s="15" t="str">
        <f>'Gen Rev'!A267</f>
        <v>Hanging Rock</v>
      </c>
      <c r="AL267" s="15" t="str">
        <f t="shared" si="10"/>
        <v>Hanging Rock</v>
      </c>
      <c r="AM267" s="15" t="b">
        <f t="shared" si="11"/>
        <v>1</v>
      </c>
    </row>
    <row r="268" spans="1:42" ht="12" customHeight="1" x14ac:dyDescent="0.2">
      <c r="A268" s="1" t="s">
        <v>820</v>
      </c>
      <c r="B268" s="1"/>
      <c r="C268" s="1" t="s">
        <v>439</v>
      </c>
      <c r="E268" s="77">
        <v>183280.29</v>
      </c>
      <c r="F268" s="77"/>
      <c r="G268" s="77">
        <v>0</v>
      </c>
      <c r="H268" s="77"/>
      <c r="I268" s="77">
        <v>84710.37</v>
      </c>
      <c r="J268" s="77"/>
      <c r="K268" s="77">
        <v>0</v>
      </c>
      <c r="L268" s="77"/>
      <c r="M268" s="77">
        <v>0</v>
      </c>
      <c r="N268" s="77"/>
      <c r="O268" s="77">
        <v>12820.51</v>
      </c>
      <c r="P268" s="77"/>
      <c r="Q268" s="77">
        <v>248.59</v>
      </c>
      <c r="R268" s="77"/>
      <c r="S268" s="77">
        <v>3125</v>
      </c>
      <c r="T268" s="77"/>
      <c r="U268" s="77">
        <v>0</v>
      </c>
      <c r="V268" s="77"/>
      <c r="W268" s="77">
        <v>0</v>
      </c>
      <c r="X268" s="77"/>
      <c r="Y268" s="77">
        <v>0</v>
      </c>
      <c r="Z268" s="77"/>
      <c r="AA268" s="77">
        <v>0</v>
      </c>
      <c r="AB268" s="77"/>
      <c r="AC268" s="77">
        <v>0</v>
      </c>
      <c r="AD268" s="77"/>
      <c r="AE268" s="77">
        <v>0</v>
      </c>
      <c r="AF268" s="77"/>
      <c r="AG268" s="77">
        <v>0</v>
      </c>
      <c r="AH268" s="77"/>
      <c r="AI268" s="77">
        <f t="shared" si="9"/>
        <v>284184.76000000007</v>
      </c>
      <c r="AJ268" s="24"/>
      <c r="AK268" s="15" t="str">
        <f>'Gen Rev'!A268</f>
        <v>Hanover</v>
      </c>
      <c r="AL268" s="15" t="str">
        <f t="shared" si="10"/>
        <v>Hanover</v>
      </c>
      <c r="AM268" s="15" t="b">
        <f t="shared" si="11"/>
        <v>1</v>
      </c>
      <c r="AN268" s="32"/>
      <c r="AO268" s="32"/>
      <c r="AP268" s="32"/>
    </row>
    <row r="269" spans="1:42" ht="12" customHeight="1" x14ac:dyDescent="0.2">
      <c r="A269" s="1" t="s">
        <v>42</v>
      </c>
      <c r="B269" s="1"/>
      <c r="C269" s="1" t="s">
        <v>749</v>
      </c>
      <c r="E269" s="77">
        <v>20373.23</v>
      </c>
      <c r="F269" s="77"/>
      <c r="G269" s="77">
        <v>0</v>
      </c>
      <c r="H269" s="77"/>
      <c r="I269" s="77">
        <v>42934.06</v>
      </c>
      <c r="J269" s="77"/>
      <c r="K269" s="77">
        <v>0</v>
      </c>
      <c r="L269" s="77"/>
      <c r="M269" s="77">
        <v>0</v>
      </c>
      <c r="N269" s="77"/>
      <c r="O269" s="77">
        <v>6040</v>
      </c>
      <c r="P269" s="77"/>
      <c r="Q269" s="77">
        <v>30.8</v>
      </c>
      <c r="R269" s="77"/>
      <c r="S269" s="77">
        <v>35768.89</v>
      </c>
      <c r="T269" s="77"/>
      <c r="U269" s="77">
        <v>0</v>
      </c>
      <c r="V269" s="77"/>
      <c r="W269" s="77">
        <v>0</v>
      </c>
      <c r="X269" s="77"/>
      <c r="Y269" s="77">
        <v>0</v>
      </c>
      <c r="Z269" s="77"/>
      <c r="AA269" s="77">
        <v>4300</v>
      </c>
      <c r="AB269" s="77"/>
      <c r="AC269" s="77">
        <v>0</v>
      </c>
      <c r="AD269" s="77"/>
      <c r="AE269" s="77">
        <v>0</v>
      </c>
      <c r="AF269" s="77"/>
      <c r="AG269" s="77">
        <v>0</v>
      </c>
      <c r="AH269" s="77"/>
      <c r="AI269" s="77">
        <f t="shared" si="9"/>
        <v>109446.98</v>
      </c>
      <c r="AJ269" s="24"/>
      <c r="AK269" s="15" t="str">
        <f>'Gen Rev'!A269</f>
        <v>Hanoverton</v>
      </c>
      <c r="AL269" s="15" t="str">
        <f t="shared" si="10"/>
        <v>Hanoverton</v>
      </c>
      <c r="AM269" s="15" t="b">
        <f t="shared" si="11"/>
        <v>1</v>
      </c>
      <c r="AN269" s="31"/>
      <c r="AO269" s="31"/>
      <c r="AP269" s="31"/>
    </row>
    <row r="270" spans="1:42" s="31" customFormat="1" ht="12" customHeight="1" x14ac:dyDescent="0.2">
      <c r="A270" s="1" t="s">
        <v>140</v>
      </c>
      <c r="B270" s="1"/>
      <c r="C270" s="1" t="s">
        <v>777</v>
      </c>
      <c r="D270" s="15"/>
      <c r="E270" s="77">
        <v>3573.09</v>
      </c>
      <c r="F270" s="77"/>
      <c r="G270" s="77">
        <v>0</v>
      </c>
      <c r="H270" s="77"/>
      <c r="I270" s="77">
        <v>10718.22</v>
      </c>
      <c r="J270" s="77"/>
      <c r="K270" s="77">
        <v>2508.27</v>
      </c>
      <c r="L270" s="77"/>
      <c r="M270" s="77">
        <v>0</v>
      </c>
      <c r="N270" s="77"/>
      <c r="O270" s="77">
        <v>544.89</v>
      </c>
      <c r="P270" s="77"/>
      <c r="Q270" s="77">
        <v>0</v>
      </c>
      <c r="R270" s="77"/>
      <c r="S270" s="77">
        <v>26717.439999999999</v>
      </c>
      <c r="T270" s="77"/>
      <c r="U270" s="77">
        <v>0</v>
      </c>
      <c r="V270" s="77"/>
      <c r="W270" s="77">
        <v>0</v>
      </c>
      <c r="X270" s="77"/>
      <c r="Y270" s="77">
        <v>0</v>
      </c>
      <c r="Z270" s="77"/>
      <c r="AA270" s="77">
        <v>0</v>
      </c>
      <c r="AB270" s="77"/>
      <c r="AC270" s="77">
        <v>0</v>
      </c>
      <c r="AD270" s="77"/>
      <c r="AE270" s="77">
        <v>0</v>
      </c>
      <c r="AF270" s="77"/>
      <c r="AG270" s="77">
        <v>0</v>
      </c>
      <c r="AH270" s="77"/>
      <c r="AI270" s="77">
        <f t="shared" si="9"/>
        <v>44061.909999999996</v>
      </c>
      <c r="AJ270" s="24"/>
      <c r="AK270" s="15" t="str">
        <f>'Gen Rev'!A270</f>
        <v>Harbor View</v>
      </c>
      <c r="AL270" s="15" t="str">
        <f t="shared" si="10"/>
        <v>Harbor View</v>
      </c>
      <c r="AM270" s="15" t="b">
        <f t="shared" si="11"/>
        <v>1</v>
      </c>
      <c r="AN270" s="15"/>
      <c r="AO270" s="15"/>
      <c r="AP270" s="15"/>
    </row>
    <row r="271" spans="1:42" ht="12" customHeight="1" x14ac:dyDescent="0.2">
      <c r="A271" s="1" t="s">
        <v>264</v>
      </c>
      <c r="B271" s="1"/>
      <c r="C271" s="1" t="s">
        <v>814</v>
      </c>
      <c r="E271" s="77">
        <v>15983.71</v>
      </c>
      <c r="F271" s="77"/>
      <c r="G271" s="77">
        <v>0</v>
      </c>
      <c r="H271" s="77"/>
      <c r="I271" s="77">
        <v>15088.04</v>
      </c>
      <c r="J271" s="77"/>
      <c r="K271" s="77">
        <v>0</v>
      </c>
      <c r="L271" s="77"/>
      <c r="M271" s="77">
        <v>0</v>
      </c>
      <c r="N271" s="77"/>
      <c r="O271" s="77">
        <v>0</v>
      </c>
      <c r="P271" s="77"/>
      <c r="Q271" s="77">
        <v>20.68</v>
      </c>
      <c r="R271" s="77"/>
      <c r="S271" s="77">
        <v>4289.3999999999996</v>
      </c>
      <c r="T271" s="77"/>
      <c r="U271" s="77">
        <v>0</v>
      </c>
      <c r="V271" s="77"/>
      <c r="W271" s="77">
        <v>0</v>
      </c>
      <c r="X271" s="77"/>
      <c r="Y271" s="77">
        <v>0</v>
      </c>
      <c r="Z271" s="77"/>
      <c r="AA271" s="77">
        <v>0</v>
      </c>
      <c r="AB271" s="77"/>
      <c r="AC271" s="77">
        <v>0</v>
      </c>
      <c r="AD271" s="77"/>
      <c r="AE271" s="77">
        <v>0</v>
      </c>
      <c r="AF271" s="77"/>
      <c r="AG271" s="77">
        <v>0</v>
      </c>
      <c r="AH271" s="77"/>
      <c r="AI271" s="77">
        <f t="shared" si="9"/>
        <v>35381.83</v>
      </c>
      <c r="AJ271" s="24"/>
      <c r="AK271" s="15" t="str">
        <f>'Gen Rev'!A271</f>
        <v>Harpster</v>
      </c>
      <c r="AL271" s="15" t="str">
        <f t="shared" si="10"/>
        <v>Harpster</v>
      </c>
      <c r="AM271" s="15" t="b">
        <f t="shared" si="11"/>
        <v>1</v>
      </c>
      <c r="AN271" s="31"/>
      <c r="AO271" s="31"/>
      <c r="AP271" s="31"/>
    </row>
    <row r="272" spans="1:42" s="31" customFormat="1" ht="12" customHeight="1" x14ac:dyDescent="0.2">
      <c r="A272" s="1" t="s">
        <v>925</v>
      </c>
      <c r="B272" s="1"/>
      <c r="C272" s="1" t="s">
        <v>353</v>
      </c>
      <c r="D272" s="15"/>
      <c r="E272" s="77">
        <v>18897.75</v>
      </c>
      <c r="F272" s="77"/>
      <c r="G272" s="77">
        <v>55239.17</v>
      </c>
      <c r="H272" s="77"/>
      <c r="I272" s="77">
        <v>26860.36</v>
      </c>
      <c r="J272" s="77"/>
      <c r="K272" s="77">
        <v>860.19</v>
      </c>
      <c r="L272" s="77"/>
      <c r="M272" s="77">
        <v>1075</v>
      </c>
      <c r="N272" s="77"/>
      <c r="O272" s="77">
        <v>13628.49</v>
      </c>
      <c r="P272" s="77"/>
      <c r="Q272" s="77">
        <v>98.86</v>
      </c>
      <c r="R272" s="77"/>
      <c r="S272" s="77">
        <v>853.7</v>
      </c>
      <c r="T272" s="77"/>
      <c r="U272" s="77">
        <v>0</v>
      </c>
      <c r="V272" s="77"/>
      <c r="W272" s="77">
        <v>0</v>
      </c>
      <c r="X272" s="77"/>
      <c r="Y272" s="77">
        <v>0</v>
      </c>
      <c r="Z272" s="77"/>
      <c r="AA272" s="77">
        <v>0</v>
      </c>
      <c r="AB272" s="77"/>
      <c r="AC272" s="77">
        <v>0</v>
      </c>
      <c r="AD272" s="77"/>
      <c r="AE272" s="77">
        <v>0</v>
      </c>
      <c r="AF272" s="77"/>
      <c r="AG272" s="77">
        <v>0</v>
      </c>
      <c r="AH272" s="77"/>
      <c r="AI272" s="77">
        <f t="shared" si="9"/>
        <v>117513.52</v>
      </c>
      <c r="AJ272" s="24"/>
      <c r="AK272" s="15" t="str">
        <f>'Gen Rev'!A272</f>
        <v>Harrisburg</v>
      </c>
      <c r="AL272" s="15" t="str">
        <f t="shared" si="10"/>
        <v>Harrisburg</v>
      </c>
      <c r="AM272" s="15" t="b">
        <f t="shared" si="11"/>
        <v>1</v>
      </c>
    </row>
    <row r="273" spans="1:42" s="31" customFormat="1" ht="12" customHeight="1" x14ac:dyDescent="0.2">
      <c r="A273" s="1" t="s">
        <v>832</v>
      </c>
      <c r="B273" s="1"/>
      <c r="C273" s="1" t="s">
        <v>765</v>
      </c>
      <c r="D273" s="15"/>
      <c r="E273" s="77">
        <v>13059.21</v>
      </c>
      <c r="F273" s="77"/>
      <c r="G273" s="77">
        <v>0</v>
      </c>
      <c r="H273" s="77"/>
      <c r="I273" s="77">
        <v>87150.77</v>
      </c>
      <c r="J273" s="77"/>
      <c r="K273" s="77">
        <v>0</v>
      </c>
      <c r="L273" s="77"/>
      <c r="M273" s="77">
        <v>1137.57</v>
      </c>
      <c r="N273" s="77"/>
      <c r="O273" s="77">
        <v>0</v>
      </c>
      <c r="P273" s="77"/>
      <c r="Q273" s="77">
        <v>15.08</v>
      </c>
      <c r="R273" s="77"/>
      <c r="S273" s="77">
        <v>2488.4699999999998</v>
      </c>
      <c r="T273" s="77"/>
      <c r="U273" s="77">
        <v>0</v>
      </c>
      <c r="V273" s="77"/>
      <c r="W273" s="77">
        <v>0</v>
      </c>
      <c r="X273" s="77"/>
      <c r="Y273" s="77">
        <v>0</v>
      </c>
      <c r="Z273" s="77"/>
      <c r="AA273" s="77">
        <v>0</v>
      </c>
      <c r="AB273" s="77"/>
      <c r="AC273" s="77">
        <v>0</v>
      </c>
      <c r="AD273" s="77"/>
      <c r="AE273" s="77">
        <v>0</v>
      </c>
      <c r="AF273" s="77"/>
      <c r="AG273" s="77">
        <v>0</v>
      </c>
      <c r="AH273" s="77"/>
      <c r="AI273" s="77">
        <f t="shared" si="9"/>
        <v>103851.10000000002</v>
      </c>
      <c r="AJ273" s="24"/>
      <c r="AK273" s="15" t="str">
        <f>'Gen Rev'!A273</f>
        <v>Harrisville</v>
      </c>
      <c r="AL273" s="15" t="str">
        <f t="shared" si="10"/>
        <v>Harrisville</v>
      </c>
      <c r="AM273" s="15" t="b">
        <f t="shared" si="11"/>
        <v>1</v>
      </c>
      <c r="AN273" s="15"/>
      <c r="AO273" s="15"/>
      <c r="AP273" s="15"/>
    </row>
    <row r="274" spans="1:42" ht="12" customHeight="1" x14ac:dyDescent="0.2">
      <c r="A274" s="1" t="s">
        <v>4</v>
      </c>
      <c r="B274" s="1"/>
      <c r="C274" s="1" t="s">
        <v>737</v>
      </c>
      <c r="E274" s="77">
        <v>27084.52</v>
      </c>
      <c r="F274" s="77"/>
      <c r="G274" s="77">
        <v>16361.37</v>
      </c>
      <c r="H274" s="77"/>
      <c r="I274" s="77">
        <v>38653.85</v>
      </c>
      <c r="J274" s="77"/>
      <c r="K274" s="77">
        <v>0</v>
      </c>
      <c r="L274" s="77"/>
      <c r="M274" s="77">
        <v>0</v>
      </c>
      <c r="N274" s="77"/>
      <c r="O274" s="77">
        <v>85</v>
      </c>
      <c r="P274" s="77"/>
      <c r="Q274" s="77">
        <v>0.97</v>
      </c>
      <c r="R274" s="77"/>
      <c r="S274" s="77">
        <v>1441.12</v>
      </c>
      <c r="T274" s="77"/>
      <c r="U274" s="77">
        <v>0</v>
      </c>
      <c r="V274" s="77"/>
      <c r="W274" s="77">
        <v>0</v>
      </c>
      <c r="X274" s="77"/>
      <c r="Y274" s="77">
        <v>0</v>
      </c>
      <c r="Z274" s="77"/>
      <c r="AA274" s="77">
        <v>0</v>
      </c>
      <c r="AB274" s="77"/>
      <c r="AC274" s="77">
        <v>0</v>
      </c>
      <c r="AD274" s="77"/>
      <c r="AE274" s="77">
        <v>0</v>
      </c>
      <c r="AF274" s="77"/>
      <c r="AG274" s="77">
        <v>0</v>
      </c>
      <c r="AH274" s="77"/>
      <c r="AI274" s="77">
        <f t="shared" ref="AI274:AI340" si="12">SUM(E274:AG274)</f>
        <v>83626.829999999987</v>
      </c>
      <c r="AJ274" s="24"/>
      <c r="AK274" s="15" t="str">
        <f>'Gen Rev'!A274</f>
        <v>Harrod</v>
      </c>
      <c r="AL274" s="15" t="str">
        <f t="shared" ref="AL274:AL340" si="13">A274</f>
        <v>Harrod</v>
      </c>
      <c r="AM274" s="15" t="b">
        <f t="shared" ref="AM274:AM340" si="14">AK274=AL274</f>
        <v>1</v>
      </c>
    </row>
    <row r="275" spans="1:42" ht="12" customHeight="1" x14ac:dyDescent="0.2">
      <c r="A275" s="15" t="s">
        <v>441</v>
      </c>
      <c r="C275" s="15" t="s">
        <v>439</v>
      </c>
      <c r="E275" s="77">
        <v>13421</v>
      </c>
      <c r="F275" s="77"/>
      <c r="G275" s="77">
        <v>0</v>
      </c>
      <c r="H275" s="77"/>
      <c r="I275" s="77">
        <v>36575</v>
      </c>
      <c r="J275" s="77"/>
      <c r="K275" s="77">
        <v>0</v>
      </c>
      <c r="L275" s="77"/>
      <c r="M275" s="77">
        <v>119429</v>
      </c>
      <c r="N275" s="77"/>
      <c r="O275" s="77">
        <v>2814</v>
      </c>
      <c r="P275" s="77"/>
      <c r="Q275" s="77">
        <v>0</v>
      </c>
      <c r="R275" s="77"/>
      <c r="S275" s="77">
        <v>4426</v>
      </c>
      <c r="T275" s="77"/>
      <c r="U275" s="77">
        <v>0</v>
      </c>
      <c r="V275" s="77"/>
      <c r="W275" s="77">
        <v>0</v>
      </c>
      <c r="X275" s="77"/>
      <c r="Y275" s="77">
        <v>0</v>
      </c>
      <c r="Z275" s="77"/>
      <c r="AA275" s="77">
        <v>0</v>
      </c>
      <c r="AB275" s="77"/>
      <c r="AC275" s="77">
        <v>0</v>
      </c>
      <c r="AD275" s="77"/>
      <c r="AE275" s="77">
        <v>0</v>
      </c>
      <c r="AF275" s="77"/>
      <c r="AG275" s="77">
        <v>0</v>
      </c>
      <c r="AH275" s="77"/>
      <c r="AI275" s="77">
        <f t="shared" si="12"/>
        <v>176665</v>
      </c>
      <c r="AJ275" s="24"/>
      <c r="AK275" s="15" t="str">
        <f>'Gen Rev'!A275</f>
        <v>Hartford</v>
      </c>
      <c r="AL275" s="15" t="str">
        <f t="shared" si="13"/>
        <v>Hartford</v>
      </c>
      <c r="AM275" s="15" t="b">
        <f t="shared" si="14"/>
        <v>1</v>
      </c>
      <c r="AN275" s="31"/>
      <c r="AO275" s="31"/>
      <c r="AP275" s="31"/>
    </row>
    <row r="276" spans="1:42" s="31" customFormat="1" ht="12" customHeight="1" x14ac:dyDescent="0.2">
      <c r="A276" s="15" t="s">
        <v>543</v>
      </c>
      <c r="B276" s="15"/>
      <c r="C276" s="15" t="s">
        <v>540</v>
      </c>
      <c r="D276" s="15"/>
      <c r="E276" s="77">
        <v>415312</v>
      </c>
      <c r="F276" s="77"/>
      <c r="G276" s="77">
        <v>911269</v>
      </c>
      <c r="H276" s="77"/>
      <c r="I276" s="77">
        <v>830532</v>
      </c>
      <c r="J276" s="77"/>
      <c r="K276" s="77">
        <v>0</v>
      </c>
      <c r="L276" s="77"/>
      <c r="M276" s="77">
        <v>2655</v>
      </c>
      <c r="N276" s="77"/>
      <c r="O276" s="77">
        <v>94368</v>
      </c>
      <c r="P276" s="77"/>
      <c r="Q276" s="77">
        <v>296</v>
      </c>
      <c r="R276" s="77"/>
      <c r="S276" s="77">
        <v>33691</v>
      </c>
      <c r="T276" s="77"/>
      <c r="U276" s="77">
        <v>0</v>
      </c>
      <c r="V276" s="77"/>
      <c r="W276" s="77">
        <v>0</v>
      </c>
      <c r="X276" s="77"/>
      <c r="Y276" s="77">
        <v>2859</v>
      </c>
      <c r="Z276" s="77"/>
      <c r="AA276" s="77">
        <v>246106</v>
      </c>
      <c r="AB276" s="77"/>
      <c r="AC276" s="77">
        <v>257548</v>
      </c>
      <c r="AD276" s="77"/>
      <c r="AE276" s="77">
        <v>0</v>
      </c>
      <c r="AF276" s="77"/>
      <c r="AG276" s="77">
        <v>0</v>
      </c>
      <c r="AH276" s="77"/>
      <c r="AI276" s="77">
        <f t="shared" si="12"/>
        <v>2794636</v>
      </c>
      <c r="AJ276" s="24"/>
      <c r="AK276" s="15" t="str">
        <f>'Gen Rev'!A276</f>
        <v>Hartville</v>
      </c>
      <c r="AL276" s="15" t="str">
        <f t="shared" si="13"/>
        <v>Hartville</v>
      </c>
      <c r="AM276" s="15" t="b">
        <f t="shared" si="14"/>
        <v>1</v>
      </c>
      <c r="AN276" s="15"/>
      <c r="AO276" s="15"/>
      <c r="AP276" s="15"/>
    </row>
    <row r="277" spans="1:42" ht="12" customHeight="1" x14ac:dyDescent="0.2">
      <c r="A277" s="1" t="s">
        <v>580</v>
      </c>
      <c r="B277" s="1"/>
      <c r="C277" s="1" t="s">
        <v>581</v>
      </c>
      <c r="E277" s="77">
        <v>87037.98</v>
      </c>
      <c r="F277" s="77"/>
      <c r="G277" s="77">
        <v>0</v>
      </c>
      <c r="H277" s="77"/>
      <c r="I277" s="77">
        <v>50328.56</v>
      </c>
      <c r="J277" s="77"/>
      <c r="K277" s="77">
        <v>0</v>
      </c>
      <c r="L277" s="77"/>
      <c r="M277" s="77">
        <v>65664.28</v>
      </c>
      <c r="N277" s="77"/>
      <c r="O277" s="77">
        <v>85510.11</v>
      </c>
      <c r="P277" s="77"/>
      <c r="Q277" s="77">
        <v>299.39</v>
      </c>
      <c r="R277" s="77"/>
      <c r="S277" s="77">
        <v>39822.43</v>
      </c>
      <c r="T277" s="77"/>
      <c r="U277" s="77">
        <v>0</v>
      </c>
      <c r="V277" s="77"/>
      <c r="W277" s="77">
        <v>0</v>
      </c>
      <c r="X277" s="77"/>
      <c r="Y277" s="77">
        <v>0</v>
      </c>
      <c r="Z277" s="77"/>
      <c r="AA277" s="77">
        <v>60000</v>
      </c>
      <c r="AB277" s="77"/>
      <c r="AC277" s="77">
        <v>0</v>
      </c>
      <c r="AD277" s="77"/>
      <c r="AE277" s="77">
        <v>0</v>
      </c>
      <c r="AF277" s="77"/>
      <c r="AG277" s="77">
        <v>0</v>
      </c>
      <c r="AH277" s="77"/>
      <c r="AI277" s="77">
        <f t="shared" si="12"/>
        <v>388662.75</v>
      </c>
      <c r="AJ277" s="24"/>
      <c r="AK277" s="15" t="str">
        <f>'Gen Rev'!A277</f>
        <v>Harveysburg</v>
      </c>
      <c r="AL277" s="15" t="str">
        <f t="shared" si="13"/>
        <v>Harveysburg</v>
      </c>
      <c r="AM277" s="15" t="b">
        <f t="shared" si="14"/>
        <v>1</v>
      </c>
    </row>
    <row r="278" spans="1:42" s="31" customFormat="1" ht="12" customHeight="1" x14ac:dyDescent="0.2">
      <c r="A278" s="36" t="s">
        <v>256</v>
      </c>
      <c r="B278" s="36"/>
      <c r="C278" s="36" t="s">
        <v>813</v>
      </c>
      <c r="D278" s="15"/>
      <c r="E278" s="77">
        <v>180103.52</v>
      </c>
      <c r="F278" s="77"/>
      <c r="G278" s="77">
        <v>183938.18</v>
      </c>
      <c r="H278" s="77"/>
      <c r="I278" s="77">
        <v>76703.09</v>
      </c>
      <c r="J278" s="77"/>
      <c r="K278" s="77">
        <v>0</v>
      </c>
      <c r="L278" s="77"/>
      <c r="M278" s="77">
        <v>0</v>
      </c>
      <c r="N278" s="77"/>
      <c r="O278" s="77">
        <v>9879.08</v>
      </c>
      <c r="P278" s="77"/>
      <c r="Q278" s="77">
        <v>936.12</v>
      </c>
      <c r="R278" s="77"/>
      <c r="S278" s="77">
        <v>327.98</v>
      </c>
      <c r="T278" s="77"/>
      <c r="U278" s="77">
        <v>0</v>
      </c>
      <c r="V278" s="77"/>
      <c r="W278" s="77">
        <v>0</v>
      </c>
      <c r="X278" s="77"/>
      <c r="Y278" s="77">
        <v>3000</v>
      </c>
      <c r="Z278" s="77"/>
      <c r="AA278" s="77">
        <v>231927.49</v>
      </c>
      <c r="AB278" s="77"/>
      <c r="AC278" s="77">
        <v>20000</v>
      </c>
      <c r="AD278" s="77"/>
      <c r="AE278" s="77">
        <v>0</v>
      </c>
      <c r="AF278" s="77"/>
      <c r="AG278" s="77">
        <v>0</v>
      </c>
      <c r="AH278" s="77"/>
      <c r="AI278" s="77">
        <f t="shared" si="12"/>
        <v>706815.46</v>
      </c>
      <c r="AJ278" s="24"/>
      <c r="AK278" s="15" t="str">
        <f>'Gen Rev'!A278</f>
        <v>Haskins</v>
      </c>
      <c r="AL278" s="15" t="str">
        <f t="shared" si="13"/>
        <v>Haskins</v>
      </c>
      <c r="AM278" s="15" t="b">
        <f t="shared" si="14"/>
        <v>1</v>
      </c>
    </row>
    <row r="279" spans="1:42" ht="12" customHeight="1" x14ac:dyDescent="0.2">
      <c r="A279" s="1" t="s">
        <v>183</v>
      </c>
      <c r="B279" s="1"/>
      <c r="C279" s="1" t="s">
        <v>792</v>
      </c>
      <c r="E279" s="77">
        <v>24682.06</v>
      </c>
      <c r="F279" s="77"/>
      <c r="G279" s="77">
        <v>0</v>
      </c>
      <c r="H279" s="77"/>
      <c r="I279" s="77">
        <v>51506.19</v>
      </c>
      <c r="J279" s="77"/>
      <c r="K279" s="77">
        <v>0</v>
      </c>
      <c r="L279" s="77"/>
      <c r="M279" s="77">
        <v>0</v>
      </c>
      <c r="N279" s="77"/>
      <c r="O279" s="77">
        <v>0</v>
      </c>
      <c r="P279" s="77"/>
      <c r="Q279" s="77">
        <v>516.84</v>
      </c>
      <c r="R279" s="77"/>
      <c r="S279" s="77">
        <v>125</v>
      </c>
      <c r="T279" s="77"/>
      <c r="U279" s="77">
        <v>0</v>
      </c>
      <c r="V279" s="77"/>
      <c r="W279" s="77">
        <v>0</v>
      </c>
      <c r="X279" s="77"/>
      <c r="Y279" s="77">
        <v>0</v>
      </c>
      <c r="Z279" s="77"/>
      <c r="AA279" s="77">
        <v>0</v>
      </c>
      <c r="AB279" s="77"/>
      <c r="AC279" s="77">
        <v>0</v>
      </c>
      <c r="AD279" s="77"/>
      <c r="AE279" s="77">
        <v>0</v>
      </c>
      <c r="AF279" s="77"/>
      <c r="AG279" s="77">
        <v>0</v>
      </c>
      <c r="AH279" s="77"/>
      <c r="AI279" s="77">
        <f t="shared" si="12"/>
        <v>76830.09</v>
      </c>
      <c r="AJ279" s="24"/>
      <c r="AK279" s="15" t="str">
        <f>'Gen Rev'!A279</f>
        <v>Haviland</v>
      </c>
      <c r="AL279" s="15" t="str">
        <f t="shared" si="13"/>
        <v>Haviland</v>
      </c>
      <c r="AM279" s="15" t="b">
        <f t="shared" si="14"/>
        <v>1</v>
      </c>
    </row>
    <row r="280" spans="1:42" ht="12" customHeight="1" x14ac:dyDescent="0.2">
      <c r="A280" s="1" t="s">
        <v>7</v>
      </c>
      <c r="B280" s="1"/>
      <c r="C280" s="1" t="s">
        <v>666</v>
      </c>
      <c r="E280" s="77">
        <v>23522.11</v>
      </c>
      <c r="F280" s="77"/>
      <c r="G280" s="77">
        <v>0</v>
      </c>
      <c r="H280" s="77"/>
      <c r="I280" s="77">
        <v>61990.61</v>
      </c>
      <c r="J280" s="77"/>
      <c r="K280" s="77">
        <v>0</v>
      </c>
      <c r="L280" s="77"/>
      <c r="M280" s="77">
        <v>8353.2000000000007</v>
      </c>
      <c r="N280" s="77"/>
      <c r="O280" s="77">
        <v>238</v>
      </c>
      <c r="P280" s="77"/>
      <c r="Q280" s="77">
        <v>289.99</v>
      </c>
      <c r="R280" s="77"/>
      <c r="S280" s="77">
        <v>555.23</v>
      </c>
      <c r="T280" s="77"/>
      <c r="U280" s="77">
        <v>0</v>
      </c>
      <c r="V280" s="77"/>
      <c r="W280" s="77">
        <v>0</v>
      </c>
      <c r="X280" s="77"/>
      <c r="Y280" s="77">
        <v>0</v>
      </c>
      <c r="Z280" s="77"/>
      <c r="AA280" s="77">
        <v>0</v>
      </c>
      <c r="AB280" s="77"/>
      <c r="AC280" s="77">
        <v>0</v>
      </c>
      <c r="AD280" s="77"/>
      <c r="AE280" s="77">
        <v>0</v>
      </c>
      <c r="AF280" s="77"/>
      <c r="AG280" s="77">
        <v>0</v>
      </c>
      <c r="AH280" s="77"/>
      <c r="AI280" s="77">
        <f t="shared" si="12"/>
        <v>94949.14</v>
      </c>
      <c r="AJ280" s="24"/>
      <c r="AK280" s="15" t="str">
        <f>'Gen Rev'!A280</f>
        <v>Hayesville</v>
      </c>
      <c r="AL280" s="15" t="str">
        <f t="shared" si="13"/>
        <v>Hayesville</v>
      </c>
      <c r="AM280" s="15" t="b">
        <f t="shared" si="14"/>
        <v>1</v>
      </c>
      <c r="AN280" s="31"/>
      <c r="AO280" s="31"/>
      <c r="AP280" s="31"/>
    </row>
    <row r="281" spans="1:42" s="24" customFormat="1" ht="12" customHeight="1" x14ac:dyDescent="0.2">
      <c r="A281" s="1" t="s">
        <v>442</v>
      </c>
      <c r="B281" s="1"/>
      <c r="C281" s="1" t="s">
        <v>439</v>
      </c>
      <c r="D281" s="15"/>
      <c r="E281" s="77">
        <v>454318.1</v>
      </c>
      <c r="F281" s="77"/>
      <c r="G281" s="77">
        <v>1392476.8</v>
      </c>
      <c r="H281" s="77"/>
      <c r="I281" s="77">
        <v>432096.62</v>
      </c>
      <c r="J281" s="77"/>
      <c r="K281" s="77">
        <v>0</v>
      </c>
      <c r="L281" s="77"/>
      <c r="M281" s="77">
        <v>914372.58</v>
      </c>
      <c r="N281" s="77"/>
      <c r="O281" s="77">
        <v>16113.45</v>
      </c>
      <c r="P281" s="77"/>
      <c r="Q281" s="77">
        <v>13535.43</v>
      </c>
      <c r="R281" s="77"/>
      <c r="S281" s="77">
        <v>22592.62</v>
      </c>
      <c r="T281" s="77"/>
      <c r="U281" s="77">
        <v>0</v>
      </c>
      <c r="V281" s="77"/>
      <c r="W281" s="77">
        <v>1333983.81</v>
      </c>
      <c r="X281" s="77"/>
      <c r="Y281" s="77">
        <v>0</v>
      </c>
      <c r="Z281" s="77"/>
      <c r="AA281" s="77">
        <v>1099142</v>
      </c>
      <c r="AB281" s="77"/>
      <c r="AC281" s="77">
        <v>0</v>
      </c>
      <c r="AD281" s="77"/>
      <c r="AE281" s="77">
        <v>0</v>
      </c>
      <c r="AF281" s="77"/>
      <c r="AG281" s="77">
        <v>0</v>
      </c>
      <c r="AH281" s="77"/>
      <c r="AI281" s="77">
        <f t="shared" si="12"/>
        <v>5678631.4100000001</v>
      </c>
      <c r="AK281" s="15" t="str">
        <f>'Gen Rev'!A281</f>
        <v>Hebron</v>
      </c>
      <c r="AL281" s="15" t="str">
        <f t="shared" si="13"/>
        <v>Hebron</v>
      </c>
      <c r="AM281" s="15" t="b">
        <f t="shared" si="14"/>
        <v>1</v>
      </c>
      <c r="AN281" s="32"/>
      <c r="AO281" s="32"/>
      <c r="AP281" s="32"/>
    </row>
    <row r="282" spans="1:42" ht="12" customHeight="1" x14ac:dyDescent="0.2">
      <c r="A282" s="1" t="s">
        <v>214</v>
      </c>
      <c r="B282" s="1"/>
      <c r="C282" s="1" t="s">
        <v>800</v>
      </c>
      <c r="E282" s="77">
        <v>28979.62</v>
      </c>
      <c r="F282" s="77"/>
      <c r="G282" s="77">
        <v>0</v>
      </c>
      <c r="H282" s="77"/>
      <c r="I282" s="77">
        <v>23035.88</v>
      </c>
      <c r="J282" s="77"/>
      <c r="K282" s="77">
        <v>0</v>
      </c>
      <c r="L282" s="77"/>
      <c r="M282" s="77">
        <v>15201.5</v>
      </c>
      <c r="N282" s="77"/>
      <c r="O282" s="77">
        <v>0</v>
      </c>
      <c r="P282" s="77"/>
      <c r="Q282" s="77">
        <v>255.05</v>
      </c>
      <c r="R282" s="77"/>
      <c r="S282" s="77">
        <v>68</v>
      </c>
      <c r="T282" s="77"/>
      <c r="U282" s="77">
        <v>0</v>
      </c>
      <c r="V282" s="77"/>
      <c r="W282" s="77">
        <v>0</v>
      </c>
      <c r="X282" s="77"/>
      <c r="Y282" s="77">
        <v>0</v>
      </c>
      <c r="Z282" s="77"/>
      <c r="AA282" s="77">
        <v>0</v>
      </c>
      <c r="AB282" s="77"/>
      <c r="AC282" s="77">
        <v>0</v>
      </c>
      <c r="AD282" s="77"/>
      <c r="AE282" s="77">
        <v>0</v>
      </c>
      <c r="AF282" s="77"/>
      <c r="AG282" s="77">
        <v>0</v>
      </c>
      <c r="AH282" s="77"/>
      <c r="AI282" s="77">
        <f t="shared" si="12"/>
        <v>67540.05</v>
      </c>
      <c r="AJ282" s="24"/>
      <c r="AK282" s="15" t="str">
        <f>'Gen Rev'!A282</f>
        <v>Helena</v>
      </c>
      <c r="AL282" s="15" t="str">
        <f t="shared" si="13"/>
        <v>Helena</v>
      </c>
      <c r="AM282" s="15" t="b">
        <f t="shared" si="14"/>
        <v>1</v>
      </c>
    </row>
    <row r="283" spans="1:42" ht="12" hidden="1" customHeight="1" x14ac:dyDescent="0.2">
      <c r="A283" s="1" t="s">
        <v>888</v>
      </c>
      <c r="B283" s="1"/>
      <c r="C283" s="1" t="s">
        <v>500</v>
      </c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>
        <f t="shared" si="12"/>
        <v>0</v>
      </c>
      <c r="AJ283" s="24"/>
      <c r="AK283" s="15" t="str">
        <f>'Gen Rev'!A283</f>
        <v>Hemlock</v>
      </c>
      <c r="AL283" s="15" t="str">
        <f t="shared" si="13"/>
        <v>Hemlock</v>
      </c>
      <c r="AM283" s="15" t="b">
        <f t="shared" si="14"/>
        <v>1</v>
      </c>
    </row>
    <row r="284" spans="1:42" ht="12" customHeight="1" x14ac:dyDescent="0.2">
      <c r="A284" s="15" t="s">
        <v>341</v>
      </c>
      <c r="C284" s="15" t="s">
        <v>342</v>
      </c>
      <c r="E284" s="77">
        <v>166521</v>
      </c>
      <c r="F284" s="77"/>
      <c r="G284" s="77">
        <v>1003180</v>
      </c>
      <c r="H284" s="77"/>
      <c r="I284" s="77">
        <f>360119+88548+4053</f>
        <v>452720</v>
      </c>
      <c r="J284" s="77"/>
      <c r="K284" s="77">
        <v>48556</v>
      </c>
      <c r="L284" s="77"/>
      <c r="M284" s="77">
        <f>132427+30095+11361</f>
        <v>173883</v>
      </c>
      <c r="N284" s="77"/>
      <c r="O284" s="77">
        <f>24808+22986</f>
        <v>47794</v>
      </c>
      <c r="P284" s="77"/>
      <c r="Q284" s="77">
        <v>34990</v>
      </c>
      <c r="R284" s="77"/>
      <c r="S284" s="77">
        <f>33510+183138</f>
        <v>216648</v>
      </c>
      <c r="T284" s="77"/>
      <c r="U284" s="77">
        <v>0</v>
      </c>
      <c r="V284" s="77"/>
      <c r="W284" s="77">
        <v>0</v>
      </c>
      <c r="X284" s="77"/>
      <c r="Y284" s="77">
        <v>0</v>
      </c>
      <c r="Z284" s="77"/>
      <c r="AA284" s="77">
        <v>440000</v>
      </c>
      <c r="AB284" s="77"/>
      <c r="AC284" s="77">
        <v>0</v>
      </c>
      <c r="AD284" s="77"/>
      <c r="AE284" s="77">
        <v>0</v>
      </c>
      <c r="AF284" s="77"/>
      <c r="AG284" s="77">
        <v>0</v>
      </c>
      <c r="AH284" s="77"/>
      <c r="AI284" s="77">
        <f t="shared" si="12"/>
        <v>2584292</v>
      </c>
      <c r="AJ284" s="24"/>
      <c r="AK284" s="15" t="str">
        <f>'Gen Rev'!A284</f>
        <v>Hicksville</v>
      </c>
      <c r="AL284" s="15" t="str">
        <f t="shared" si="13"/>
        <v>Hicksville</v>
      </c>
      <c r="AM284" s="15" t="b">
        <f t="shared" si="14"/>
        <v>1</v>
      </c>
      <c r="AN284" s="30"/>
      <c r="AO284" s="30"/>
      <c r="AP284" s="30"/>
    </row>
    <row r="285" spans="1:42" ht="12" customHeight="1" x14ac:dyDescent="0.2">
      <c r="A285" s="15" t="s">
        <v>960</v>
      </c>
      <c r="C285" s="15" t="s">
        <v>742</v>
      </c>
      <c r="E285" s="77">
        <v>22563</v>
      </c>
      <c r="F285" s="77"/>
      <c r="G285" s="77">
        <v>0</v>
      </c>
      <c r="H285" s="77"/>
      <c r="I285" s="77">
        <v>34079</v>
      </c>
      <c r="J285" s="77"/>
      <c r="K285" s="77">
        <v>0</v>
      </c>
      <c r="L285" s="77"/>
      <c r="M285" s="77">
        <v>31071</v>
      </c>
      <c r="N285" s="77"/>
      <c r="O285" s="77">
        <v>100</v>
      </c>
      <c r="P285" s="77"/>
      <c r="Q285" s="77">
        <v>0</v>
      </c>
      <c r="R285" s="77"/>
      <c r="S285" s="77">
        <v>2988</v>
      </c>
      <c r="T285" s="77"/>
      <c r="U285" s="77">
        <v>0</v>
      </c>
      <c r="V285" s="77"/>
      <c r="W285" s="77">
        <v>0</v>
      </c>
      <c r="X285" s="77"/>
      <c r="Y285" s="77">
        <v>0</v>
      </c>
      <c r="Z285" s="77"/>
      <c r="AA285" s="77">
        <v>0</v>
      </c>
      <c r="AB285" s="77"/>
      <c r="AC285" s="77">
        <v>0</v>
      </c>
      <c r="AD285" s="77"/>
      <c r="AE285" s="77">
        <v>0</v>
      </c>
      <c r="AF285" s="77"/>
      <c r="AG285" s="77">
        <v>0</v>
      </c>
      <c r="AH285" s="77"/>
      <c r="AI285" s="77">
        <f t="shared" si="12"/>
        <v>90801</v>
      </c>
      <c r="AJ285" s="24"/>
      <c r="AK285" s="15" t="str">
        <f>'Gen Rev'!A285</f>
        <v>Higginsport</v>
      </c>
      <c r="AL285" s="15" t="str">
        <f t="shared" si="13"/>
        <v>Higginsport</v>
      </c>
      <c r="AM285" s="15" t="b">
        <f t="shared" si="14"/>
        <v>1</v>
      </c>
      <c r="AN285" s="30"/>
      <c r="AO285" s="30"/>
      <c r="AP285" s="30"/>
    </row>
    <row r="286" spans="1:42" ht="12" hidden="1" customHeight="1" x14ac:dyDescent="0.2">
      <c r="A286" s="1" t="s">
        <v>409</v>
      </c>
      <c r="B286" s="1"/>
      <c r="C286" s="1" t="s">
        <v>409</v>
      </c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>
        <f t="shared" si="12"/>
        <v>0</v>
      </c>
      <c r="AJ286" s="24"/>
      <c r="AK286" s="15" t="str">
        <f>'Gen Rev'!A286</f>
        <v>Highland</v>
      </c>
      <c r="AL286" s="15" t="str">
        <f t="shared" si="13"/>
        <v>Highland</v>
      </c>
      <c r="AM286" s="15" t="b">
        <f t="shared" si="14"/>
        <v>1</v>
      </c>
      <c r="AN286" s="31"/>
      <c r="AO286" s="31"/>
      <c r="AP286" s="31"/>
    </row>
    <row r="287" spans="1:42" ht="12" customHeight="1" x14ac:dyDescent="0.2">
      <c r="A287" s="15" t="s">
        <v>947</v>
      </c>
      <c r="C287" s="15" t="s">
        <v>316</v>
      </c>
      <c r="E287" s="77">
        <v>285331</v>
      </c>
      <c r="F287" s="77"/>
      <c r="G287" s="77">
        <v>3262250</v>
      </c>
      <c r="H287" s="77"/>
      <c r="I287" s="77">
        <v>99357</v>
      </c>
      <c r="J287" s="77"/>
      <c r="K287" s="77">
        <v>43982</v>
      </c>
      <c r="L287" s="77"/>
      <c r="M287" s="77">
        <v>57813</v>
      </c>
      <c r="N287" s="77"/>
      <c r="O287" s="77">
        <v>232560</v>
      </c>
      <c r="P287" s="77"/>
      <c r="Q287" s="77">
        <v>448</v>
      </c>
      <c r="R287" s="77"/>
      <c r="S287" s="77">
        <v>55928</v>
      </c>
      <c r="T287" s="77"/>
      <c r="U287" s="77">
        <v>0</v>
      </c>
      <c r="V287" s="77"/>
      <c r="W287" s="77">
        <v>0</v>
      </c>
      <c r="X287" s="77"/>
      <c r="Y287" s="77">
        <v>0</v>
      </c>
      <c r="Z287" s="77"/>
      <c r="AA287" s="77">
        <v>340000</v>
      </c>
      <c r="AB287" s="77"/>
      <c r="AC287" s="77">
        <v>0</v>
      </c>
      <c r="AD287" s="77"/>
      <c r="AE287" s="77">
        <v>0</v>
      </c>
      <c r="AF287" s="77"/>
      <c r="AG287" s="77">
        <v>0</v>
      </c>
      <c r="AH287" s="77"/>
      <c r="AI287" s="77">
        <f t="shared" si="12"/>
        <v>4377669</v>
      </c>
      <c r="AJ287" s="24"/>
      <c r="AK287" s="15" t="str">
        <f>'Gen Rev'!A287</f>
        <v>Highland Hills</v>
      </c>
      <c r="AL287" s="15" t="str">
        <f t="shared" si="13"/>
        <v>Highland Hills</v>
      </c>
      <c r="AM287" s="15" t="b">
        <f t="shared" si="14"/>
        <v>1</v>
      </c>
      <c r="AN287" s="31"/>
      <c r="AO287" s="31"/>
      <c r="AP287" s="31"/>
    </row>
    <row r="288" spans="1:42" ht="12" customHeight="1" x14ac:dyDescent="0.2">
      <c r="A288" s="1" t="s">
        <v>225</v>
      </c>
      <c r="B288" s="1"/>
      <c r="C288" s="1" t="s">
        <v>804</v>
      </c>
      <c r="E288" s="77">
        <v>243341.97</v>
      </c>
      <c r="F288" s="77"/>
      <c r="G288" s="77">
        <v>0</v>
      </c>
      <c r="H288" s="77"/>
      <c r="I288" s="77">
        <v>77372.350000000006</v>
      </c>
      <c r="J288" s="77"/>
      <c r="K288" s="77">
        <v>0</v>
      </c>
      <c r="L288" s="77"/>
      <c r="M288" s="77">
        <v>17820</v>
      </c>
      <c r="N288" s="77"/>
      <c r="O288" s="77">
        <v>25</v>
      </c>
      <c r="P288" s="77"/>
      <c r="Q288" s="77">
        <v>2927.64</v>
      </c>
      <c r="R288" s="77"/>
      <c r="S288" s="77">
        <v>12806.77</v>
      </c>
      <c r="T288" s="77"/>
      <c r="U288" s="77">
        <v>0</v>
      </c>
      <c r="V288" s="77"/>
      <c r="W288" s="77">
        <v>0</v>
      </c>
      <c r="X288" s="77"/>
      <c r="Y288" s="77">
        <v>0</v>
      </c>
      <c r="Z288" s="77"/>
      <c r="AA288" s="77">
        <v>0</v>
      </c>
      <c r="AB288" s="77"/>
      <c r="AC288" s="77">
        <v>0</v>
      </c>
      <c r="AD288" s="77"/>
      <c r="AE288" s="77">
        <v>0</v>
      </c>
      <c r="AF288" s="77"/>
      <c r="AG288" s="77">
        <v>0</v>
      </c>
      <c r="AH288" s="77"/>
      <c r="AI288" s="77">
        <f t="shared" si="12"/>
        <v>354293.73000000004</v>
      </c>
      <c r="AJ288" s="24"/>
      <c r="AK288" s="15" t="str">
        <f>'Gen Rev'!A288</f>
        <v>Hills And Dales</v>
      </c>
      <c r="AL288" s="15" t="str">
        <f t="shared" si="13"/>
        <v>Hills And Dales</v>
      </c>
      <c r="AM288" s="15" t="b">
        <f t="shared" si="14"/>
        <v>1</v>
      </c>
      <c r="AN288" s="31"/>
      <c r="AO288" s="31"/>
      <c r="AP288" s="31"/>
    </row>
    <row r="289" spans="1:42" s="31" customFormat="1" ht="12" customHeight="1" x14ac:dyDescent="0.2">
      <c r="A289" s="1" t="s">
        <v>194</v>
      </c>
      <c r="B289" s="1"/>
      <c r="C289" s="1" t="s">
        <v>795</v>
      </c>
      <c r="D289" s="15"/>
      <c r="E289" s="77">
        <v>70238.31</v>
      </c>
      <c r="F289" s="77"/>
      <c r="G289" s="77">
        <v>424848.67</v>
      </c>
      <c r="H289" s="77"/>
      <c r="I289" s="77">
        <v>199874.72</v>
      </c>
      <c r="J289" s="77"/>
      <c r="K289" s="77">
        <v>0</v>
      </c>
      <c r="L289" s="77"/>
      <c r="M289" s="77">
        <v>359874.22</v>
      </c>
      <c r="N289" s="77"/>
      <c r="O289" s="77">
        <v>41039.49</v>
      </c>
      <c r="P289" s="77"/>
      <c r="Q289" s="77">
        <v>28958.98</v>
      </c>
      <c r="R289" s="77"/>
      <c r="S289" s="77">
        <v>83991.67</v>
      </c>
      <c r="T289" s="77"/>
      <c r="U289" s="77">
        <v>0</v>
      </c>
      <c r="V289" s="77"/>
      <c r="W289" s="77">
        <v>0</v>
      </c>
      <c r="X289" s="77"/>
      <c r="Y289" s="77">
        <v>200</v>
      </c>
      <c r="Z289" s="77"/>
      <c r="AA289" s="77">
        <v>129189.89</v>
      </c>
      <c r="AB289" s="77"/>
      <c r="AC289" s="77">
        <v>98563.199999999997</v>
      </c>
      <c r="AD289" s="77"/>
      <c r="AE289" s="77">
        <v>0</v>
      </c>
      <c r="AF289" s="77"/>
      <c r="AG289" s="77">
        <v>0</v>
      </c>
      <c r="AH289" s="77"/>
      <c r="AI289" s="77">
        <f t="shared" si="12"/>
        <v>1436779.1499999997</v>
      </c>
      <c r="AJ289" s="24"/>
      <c r="AK289" s="15" t="str">
        <f>'Gen Rev'!A289</f>
        <v>Hiram</v>
      </c>
      <c r="AL289" s="15" t="str">
        <f t="shared" si="13"/>
        <v>Hiram</v>
      </c>
      <c r="AM289" s="15" t="b">
        <f t="shared" si="14"/>
        <v>1</v>
      </c>
      <c r="AN289" s="15"/>
      <c r="AO289" s="15"/>
      <c r="AP289" s="15"/>
    </row>
    <row r="290" spans="1:42" s="31" customFormat="1" ht="12" customHeight="1" x14ac:dyDescent="0.2">
      <c r="A290" s="15" t="s">
        <v>408</v>
      </c>
      <c r="B290" s="15"/>
      <c r="C290" s="15" t="s">
        <v>407</v>
      </c>
      <c r="D290" s="15"/>
      <c r="E290" s="77">
        <v>38866</v>
      </c>
      <c r="F290" s="77"/>
      <c r="G290" s="77">
        <v>216368</v>
      </c>
      <c r="H290" s="77"/>
      <c r="I290" s="77">
        <v>87162</v>
      </c>
      <c r="J290" s="77"/>
      <c r="K290" s="77">
        <v>0</v>
      </c>
      <c r="L290" s="77"/>
      <c r="M290" s="77">
        <v>6756</v>
      </c>
      <c r="N290" s="77"/>
      <c r="O290" s="77">
        <v>1260</v>
      </c>
      <c r="P290" s="77"/>
      <c r="Q290" s="77">
        <v>3272</v>
      </c>
      <c r="R290" s="77"/>
      <c r="S290" s="77">
        <v>27312</v>
      </c>
      <c r="T290" s="77"/>
      <c r="U290" s="77">
        <v>0</v>
      </c>
      <c r="V290" s="77"/>
      <c r="W290" s="77">
        <v>0</v>
      </c>
      <c r="X290" s="77"/>
      <c r="Y290" s="77">
        <v>0</v>
      </c>
      <c r="Z290" s="77"/>
      <c r="AA290" s="77">
        <v>0</v>
      </c>
      <c r="AB290" s="77"/>
      <c r="AC290" s="77">
        <v>0</v>
      </c>
      <c r="AD290" s="77"/>
      <c r="AE290" s="77">
        <v>109</v>
      </c>
      <c r="AF290" s="77"/>
      <c r="AG290" s="77">
        <v>0</v>
      </c>
      <c r="AH290" s="77"/>
      <c r="AI290" s="77">
        <f t="shared" si="12"/>
        <v>381105</v>
      </c>
      <c r="AJ290" s="24"/>
      <c r="AK290" s="15" t="str">
        <f>'Gen Rev'!A290</f>
        <v>Holgate</v>
      </c>
      <c r="AL290" s="15" t="str">
        <f t="shared" si="13"/>
        <v>Holgate</v>
      </c>
      <c r="AM290" s="15" t="b">
        <f t="shared" si="14"/>
        <v>1</v>
      </c>
      <c r="AN290" s="15"/>
      <c r="AO290" s="15"/>
      <c r="AP290" s="15"/>
    </row>
    <row r="291" spans="1:42" ht="12" customHeight="1" x14ac:dyDescent="0.2">
      <c r="A291" s="1" t="s">
        <v>267</v>
      </c>
      <c r="B291" s="1"/>
      <c r="C291" s="1" t="s">
        <v>596</v>
      </c>
      <c r="E291" s="77">
        <v>396629.68</v>
      </c>
      <c r="F291" s="77"/>
      <c r="G291" s="77">
        <v>0</v>
      </c>
      <c r="H291" s="77"/>
      <c r="I291" s="77">
        <v>24762.03</v>
      </c>
      <c r="J291" s="77"/>
      <c r="K291" s="77">
        <v>0</v>
      </c>
      <c r="L291" s="77"/>
      <c r="M291" s="77">
        <v>600</v>
      </c>
      <c r="N291" s="77"/>
      <c r="O291" s="77">
        <v>0</v>
      </c>
      <c r="P291" s="77"/>
      <c r="Q291" s="77">
        <v>3773.74</v>
      </c>
      <c r="R291" s="77"/>
      <c r="S291" s="77">
        <v>92745.98</v>
      </c>
      <c r="T291" s="77"/>
      <c r="U291" s="77">
        <v>0</v>
      </c>
      <c r="V291" s="77"/>
      <c r="W291" s="77">
        <v>0</v>
      </c>
      <c r="X291" s="77"/>
      <c r="Y291" s="77">
        <v>0</v>
      </c>
      <c r="Z291" s="77"/>
      <c r="AA291" s="77">
        <v>45889.94</v>
      </c>
      <c r="AB291" s="77"/>
      <c r="AC291" s="77">
        <v>0</v>
      </c>
      <c r="AD291" s="77"/>
      <c r="AE291" s="77">
        <v>0</v>
      </c>
      <c r="AF291" s="77"/>
      <c r="AG291" s="77">
        <v>0</v>
      </c>
      <c r="AH291" s="77"/>
      <c r="AI291" s="77">
        <f t="shared" si="12"/>
        <v>564401.36999999988</v>
      </c>
      <c r="AJ291" s="24"/>
      <c r="AK291" s="15" t="str">
        <f>'Gen Rev'!A291</f>
        <v>Holiday City</v>
      </c>
      <c r="AL291" s="15" t="str">
        <f t="shared" si="13"/>
        <v>Holiday City</v>
      </c>
      <c r="AM291" s="15" t="b">
        <f t="shared" si="14"/>
        <v>1</v>
      </c>
    </row>
    <row r="292" spans="1:42" ht="12" customHeight="1" x14ac:dyDescent="0.2">
      <c r="A292" s="15" t="s">
        <v>454</v>
      </c>
      <c r="C292" s="15" t="s">
        <v>455</v>
      </c>
      <c r="E292" s="77">
        <v>44325</v>
      </c>
      <c r="F292" s="77"/>
      <c r="G292" s="77">
        <v>3201508</v>
      </c>
      <c r="H292" s="77"/>
      <c r="I292" s="77">
        <v>623172</v>
      </c>
      <c r="J292" s="77"/>
      <c r="K292" s="77">
        <v>9941</v>
      </c>
      <c r="L292" s="77"/>
      <c r="M292" s="77">
        <v>112795</v>
      </c>
      <c r="N292" s="77"/>
      <c r="O292" s="77">
        <v>26643</v>
      </c>
      <c r="P292" s="77"/>
      <c r="Q292" s="77">
        <v>49691</v>
      </c>
      <c r="R292" s="77"/>
      <c r="S292" s="77">
        <v>192348</v>
      </c>
      <c r="T292" s="77"/>
      <c r="U292" s="77">
        <v>0</v>
      </c>
      <c r="V292" s="77"/>
      <c r="W292" s="77">
        <v>0</v>
      </c>
      <c r="X292" s="77"/>
      <c r="Y292" s="77">
        <v>0</v>
      </c>
      <c r="Z292" s="77"/>
      <c r="AA292" s="77">
        <v>997806</v>
      </c>
      <c r="AB292" s="77"/>
      <c r="AC292" s="77">
        <v>0</v>
      </c>
      <c r="AD292" s="77"/>
      <c r="AE292" s="77">
        <v>0</v>
      </c>
      <c r="AF292" s="77"/>
      <c r="AG292" s="77">
        <v>0</v>
      </c>
      <c r="AH292" s="77"/>
      <c r="AI292" s="77">
        <f t="shared" si="12"/>
        <v>5258229</v>
      </c>
      <c r="AJ292" s="24"/>
      <c r="AK292" s="15" t="str">
        <f>'Gen Rev'!A292</f>
        <v>Holland</v>
      </c>
      <c r="AL292" s="15" t="str">
        <f t="shared" si="13"/>
        <v>Holland</v>
      </c>
      <c r="AM292" s="15" t="b">
        <f t="shared" si="14"/>
        <v>1</v>
      </c>
    </row>
    <row r="293" spans="1:42" ht="12" customHeight="1" x14ac:dyDescent="0.2">
      <c r="A293" s="15" t="s">
        <v>332</v>
      </c>
      <c r="C293" s="15" t="s">
        <v>329</v>
      </c>
      <c r="E293" s="77">
        <f>23102+8163</f>
        <v>31265</v>
      </c>
      <c r="F293" s="77"/>
      <c r="G293" s="77">
        <v>0</v>
      </c>
      <c r="H293" s="77"/>
      <c r="I293" s="77">
        <f>30036+12211</f>
        <v>42247</v>
      </c>
      <c r="J293" s="77"/>
      <c r="K293" s="77">
        <v>0</v>
      </c>
      <c r="L293" s="77"/>
      <c r="M293" s="77">
        <v>0</v>
      </c>
      <c r="N293" s="77"/>
      <c r="O293" s="77">
        <v>0</v>
      </c>
      <c r="P293" s="77"/>
      <c r="Q293" s="77">
        <v>4</v>
      </c>
      <c r="R293" s="77"/>
      <c r="S293" s="77">
        <f>2179+196</f>
        <v>2375</v>
      </c>
      <c r="T293" s="77"/>
      <c r="U293" s="77">
        <v>0</v>
      </c>
      <c r="V293" s="77"/>
      <c r="W293" s="77">
        <v>0</v>
      </c>
      <c r="X293" s="77"/>
      <c r="Y293" s="77">
        <v>0</v>
      </c>
      <c r="Z293" s="77"/>
      <c r="AA293" s="77">
        <v>0</v>
      </c>
      <c r="AB293" s="77"/>
      <c r="AC293" s="77">
        <v>0</v>
      </c>
      <c r="AD293" s="77"/>
      <c r="AE293" s="77">
        <v>0</v>
      </c>
      <c r="AF293" s="77"/>
      <c r="AG293" s="77">
        <v>0</v>
      </c>
      <c r="AH293" s="77"/>
      <c r="AI293" s="77">
        <f t="shared" si="12"/>
        <v>75891</v>
      </c>
      <c r="AJ293" s="24"/>
      <c r="AK293" s="15" t="str">
        <f>'Gen Rev'!A293</f>
        <v>Hollansburg</v>
      </c>
      <c r="AL293" s="15" t="str">
        <f t="shared" si="13"/>
        <v>Hollansburg</v>
      </c>
      <c r="AM293" s="15" t="b">
        <f t="shared" si="14"/>
        <v>1</v>
      </c>
      <c r="AN293" s="31"/>
      <c r="AO293" s="31"/>
      <c r="AP293" s="31"/>
    </row>
    <row r="294" spans="1:42" ht="12" customHeight="1" x14ac:dyDescent="0.2">
      <c r="A294" s="1" t="s">
        <v>17</v>
      </c>
      <c r="B294" s="1"/>
      <c r="C294" s="1" t="s">
        <v>741</v>
      </c>
      <c r="E294" s="77">
        <v>36296.28</v>
      </c>
      <c r="F294" s="77"/>
      <c r="G294" s="77">
        <v>0</v>
      </c>
      <c r="H294" s="77"/>
      <c r="I294" s="77">
        <v>40392.99</v>
      </c>
      <c r="J294" s="77"/>
      <c r="K294" s="77">
        <v>0</v>
      </c>
      <c r="L294" s="77"/>
      <c r="M294" s="77">
        <v>0</v>
      </c>
      <c r="N294" s="77"/>
      <c r="O294" s="77">
        <v>4</v>
      </c>
      <c r="P294" s="77"/>
      <c r="Q294" s="77">
        <v>619.79</v>
      </c>
      <c r="R294" s="77"/>
      <c r="S294" s="77">
        <v>0</v>
      </c>
      <c r="T294" s="77"/>
      <c r="U294" s="77">
        <v>0</v>
      </c>
      <c r="V294" s="77"/>
      <c r="W294" s="77">
        <v>0</v>
      </c>
      <c r="X294" s="77"/>
      <c r="Y294" s="77">
        <v>0</v>
      </c>
      <c r="Z294" s="77"/>
      <c r="AA294" s="77">
        <v>0</v>
      </c>
      <c r="AB294" s="77"/>
      <c r="AC294" s="77">
        <v>5000</v>
      </c>
      <c r="AD294" s="77"/>
      <c r="AE294" s="77">
        <v>6123.69</v>
      </c>
      <c r="AF294" s="77"/>
      <c r="AG294" s="77">
        <v>0</v>
      </c>
      <c r="AH294" s="77"/>
      <c r="AI294" s="77">
        <f t="shared" si="12"/>
        <v>88436.749999999985</v>
      </c>
      <c r="AJ294" s="24"/>
      <c r="AK294" s="15" t="str">
        <f>'Gen Rev'!A294</f>
        <v>Holloway</v>
      </c>
      <c r="AL294" s="15" t="str">
        <f t="shared" si="13"/>
        <v>Holloway</v>
      </c>
      <c r="AM294" s="15" t="b">
        <f t="shared" si="14"/>
        <v>1</v>
      </c>
      <c r="AN294" s="31"/>
      <c r="AO294" s="31"/>
      <c r="AP294" s="31"/>
    </row>
    <row r="295" spans="1:42" ht="12" customHeight="1" x14ac:dyDescent="0.2">
      <c r="A295" s="1" t="s">
        <v>413</v>
      </c>
      <c r="B295" s="1"/>
      <c r="C295" s="1" t="s">
        <v>412</v>
      </c>
      <c r="E295" s="77">
        <v>23375.919999999998</v>
      </c>
      <c r="F295" s="77"/>
      <c r="G295" s="77">
        <v>0</v>
      </c>
      <c r="H295" s="77"/>
      <c r="I295" s="77">
        <v>40473.339999999997</v>
      </c>
      <c r="J295" s="77"/>
      <c r="K295" s="77">
        <v>1300</v>
      </c>
      <c r="L295" s="77"/>
      <c r="M295" s="77">
        <v>0</v>
      </c>
      <c r="N295" s="77"/>
      <c r="O295" s="77">
        <v>30</v>
      </c>
      <c r="P295" s="77"/>
      <c r="Q295" s="77">
        <v>75.98</v>
      </c>
      <c r="R295" s="77"/>
      <c r="S295" s="77">
        <v>1944.29</v>
      </c>
      <c r="T295" s="77"/>
      <c r="U295" s="77">
        <v>0</v>
      </c>
      <c r="V295" s="77"/>
      <c r="W295" s="77">
        <v>0</v>
      </c>
      <c r="X295" s="77"/>
      <c r="Y295" s="77">
        <v>0</v>
      </c>
      <c r="Z295" s="77"/>
      <c r="AA295" s="77">
        <v>12877.86</v>
      </c>
      <c r="AB295" s="77"/>
      <c r="AC295" s="77">
        <v>366</v>
      </c>
      <c r="AD295" s="77"/>
      <c r="AE295" s="77">
        <v>0</v>
      </c>
      <c r="AF295" s="77"/>
      <c r="AG295" s="77">
        <v>0</v>
      </c>
      <c r="AH295" s="77"/>
      <c r="AI295" s="77">
        <f t="shared" si="12"/>
        <v>80443.39</v>
      </c>
      <c r="AJ295" s="24"/>
      <c r="AK295" s="15" t="str">
        <f>'Gen Rev'!A295</f>
        <v>Holmesville</v>
      </c>
      <c r="AL295" s="15" t="str">
        <f t="shared" si="13"/>
        <v>Holmesville</v>
      </c>
      <c r="AM295" s="15" t="b">
        <f t="shared" si="14"/>
        <v>1</v>
      </c>
    </row>
    <row r="296" spans="1:42" s="31" customFormat="1" ht="12" customHeight="1" x14ac:dyDescent="0.2">
      <c r="A296" s="1" t="s">
        <v>101</v>
      </c>
      <c r="B296" s="1"/>
      <c r="C296" s="1" t="s">
        <v>765</v>
      </c>
      <c r="D296" s="15"/>
      <c r="E296" s="77">
        <v>54606.62</v>
      </c>
      <c r="F296" s="77"/>
      <c r="G296" s="77">
        <v>119457.64</v>
      </c>
      <c r="H296" s="77"/>
      <c r="I296" s="77">
        <v>253667.9</v>
      </c>
      <c r="J296" s="77"/>
      <c r="K296" s="77">
        <v>0</v>
      </c>
      <c r="L296" s="77"/>
      <c r="M296" s="77">
        <v>120</v>
      </c>
      <c r="N296" s="77"/>
      <c r="O296" s="77">
        <v>6251.93</v>
      </c>
      <c r="P296" s="77"/>
      <c r="Q296" s="77">
        <v>180.9</v>
      </c>
      <c r="R296" s="77"/>
      <c r="S296" s="77">
        <v>12966.52</v>
      </c>
      <c r="T296" s="77"/>
      <c r="U296" s="77">
        <v>0</v>
      </c>
      <c r="V296" s="77"/>
      <c r="W296" s="77">
        <v>0</v>
      </c>
      <c r="X296" s="77"/>
      <c r="Y296" s="77">
        <v>0</v>
      </c>
      <c r="Z296" s="77"/>
      <c r="AA296" s="77">
        <v>0</v>
      </c>
      <c r="AB296" s="77"/>
      <c r="AC296" s="77">
        <v>0</v>
      </c>
      <c r="AD296" s="77"/>
      <c r="AE296" s="77">
        <v>0</v>
      </c>
      <c r="AF296" s="77"/>
      <c r="AG296" s="77">
        <v>0</v>
      </c>
      <c r="AH296" s="77"/>
      <c r="AI296" s="77">
        <f t="shared" si="12"/>
        <v>447251.51000000007</v>
      </c>
      <c r="AJ296" s="24"/>
      <c r="AK296" s="15" t="str">
        <f>'Gen Rev'!A296</f>
        <v>Hopedale</v>
      </c>
      <c r="AL296" s="15" t="str">
        <f t="shared" si="13"/>
        <v>Hopedale</v>
      </c>
      <c r="AM296" s="15" t="b">
        <f t="shared" si="14"/>
        <v>1</v>
      </c>
    </row>
    <row r="297" spans="1:42" ht="12" customHeight="1" x14ac:dyDescent="0.2">
      <c r="A297" s="1" t="s">
        <v>257</v>
      </c>
      <c r="B297" s="1"/>
      <c r="C297" s="1" t="s">
        <v>813</v>
      </c>
      <c r="E297" s="77">
        <v>12938.2</v>
      </c>
      <c r="F297" s="77"/>
      <c r="G297" s="77">
        <v>0</v>
      </c>
      <c r="H297" s="77"/>
      <c r="I297" s="77">
        <v>24303.02</v>
      </c>
      <c r="J297" s="77"/>
      <c r="K297" s="77">
        <v>3744.48</v>
      </c>
      <c r="L297" s="77"/>
      <c r="M297" s="77">
        <v>7349.96</v>
      </c>
      <c r="N297" s="77"/>
      <c r="O297" s="77">
        <v>50</v>
      </c>
      <c r="P297" s="77"/>
      <c r="Q297" s="77">
        <v>44.67</v>
      </c>
      <c r="R297" s="77"/>
      <c r="S297" s="77">
        <v>0</v>
      </c>
      <c r="T297" s="77"/>
      <c r="U297" s="77">
        <v>0</v>
      </c>
      <c r="V297" s="77"/>
      <c r="W297" s="77">
        <v>0</v>
      </c>
      <c r="X297" s="77"/>
      <c r="Y297" s="77">
        <v>0</v>
      </c>
      <c r="Z297" s="77"/>
      <c r="AA297" s="77">
        <v>0</v>
      </c>
      <c r="AB297" s="77"/>
      <c r="AC297" s="77">
        <v>0</v>
      </c>
      <c r="AD297" s="77"/>
      <c r="AE297" s="77">
        <v>0</v>
      </c>
      <c r="AF297" s="77"/>
      <c r="AG297" s="77">
        <v>1400.93</v>
      </c>
      <c r="AH297" s="77"/>
      <c r="AI297" s="77">
        <f t="shared" si="12"/>
        <v>49831.26</v>
      </c>
      <c r="AJ297" s="24"/>
      <c r="AK297" s="15" t="str">
        <f>'Gen Rev'!A297</f>
        <v>Hoytville</v>
      </c>
      <c r="AL297" s="15" t="str">
        <f t="shared" si="13"/>
        <v>Hoytville</v>
      </c>
      <c r="AM297" s="15" t="b">
        <f t="shared" si="14"/>
        <v>1</v>
      </c>
    </row>
    <row r="298" spans="1:42" s="31" customFormat="1" ht="12" customHeight="1" x14ac:dyDescent="0.2">
      <c r="A298" s="15" t="s">
        <v>321</v>
      </c>
      <c r="B298" s="15"/>
      <c r="C298" s="15" t="s">
        <v>316</v>
      </c>
      <c r="D298" s="15"/>
      <c r="E298" s="77">
        <v>660288</v>
      </c>
      <c r="F298" s="77"/>
      <c r="G298" s="77">
        <v>0</v>
      </c>
      <c r="H298" s="77"/>
      <c r="I298" s="77">
        <v>71253210</v>
      </c>
      <c r="J298" s="77"/>
      <c r="K298" s="77">
        <v>0</v>
      </c>
      <c r="L298" s="77"/>
      <c r="M298" s="77">
        <v>72218</v>
      </c>
      <c r="N298" s="77"/>
      <c r="O298" s="77">
        <v>104746</v>
      </c>
      <c r="P298" s="77"/>
      <c r="Q298" s="77">
        <f>142560+24059</f>
        <v>166619</v>
      </c>
      <c r="R298" s="77"/>
      <c r="S298" s="77">
        <v>172206</v>
      </c>
      <c r="T298" s="77"/>
      <c r="U298" s="77">
        <v>0</v>
      </c>
      <c r="V298" s="77"/>
      <c r="W298" s="77">
        <v>5250000</v>
      </c>
      <c r="X298" s="77"/>
      <c r="Y298" s="77">
        <v>0</v>
      </c>
      <c r="Z298" s="77"/>
      <c r="AA298" s="77">
        <v>0</v>
      </c>
      <c r="AB298" s="77"/>
      <c r="AC298" s="77">
        <v>0</v>
      </c>
      <c r="AD298" s="77"/>
      <c r="AE298" s="77">
        <v>0</v>
      </c>
      <c r="AF298" s="77"/>
      <c r="AG298" s="77">
        <v>0</v>
      </c>
      <c r="AH298" s="77"/>
      <c r="AI298" s="77">
        <f t="shared" si="12"/>
        <v>77679287</v>
      </c>
      <c r="AJ298" s="24"/>
      <c r="AK298" s="15" t="str">
        <f>'Gen Rev'!A298</f>
        <v>Hunting Valley</v>
      </c>
      <c r="AL298" s="15" t="str">
        <f t="shared" si="13"/>
        <v>Hunting Valley</v>
      </c>
      <c r="AM298" s="15" t="b">
        <f t="shared" si="14"/>
        <v>1</v>
      </c>
      <c r="AN298" s="32"/>
      <c r="AO298" s="32"/>
      <c r="AP298" s="32"/>
    </row>
    <row r="299" spans="1:42" s="31" customFormat="1" ht="12" customHeight="1" x14ac:dyDescent="0.2">
      <c r="A299" s="1" t="s">
        <v>133</v>
      </c>
      <c r="B299" s="1"/>
      <c r="C299" s="1" t="s">
        <v>775</v>
      </c>
      <c r="D299" s="15"/>
      <c r="E299" s="77">
        <v>11434.76</v>
      </c>
      <c r="F299" s="77"/>
      <c r="G299" s="77">
        <v>62027.88</v>
      </c>
      <c r="H299" s="77"/>
      <c r="I299" s="77">
        <v>34852.660000000003</v>
      </c>
      <c r="J299" s="77"/>
      <c r="K299" s="77">
        <v>509.26</v>
      </c>
      <c r="L299" s="77"/>
      <c r="M299" s="77">
        <v>57506.18</v>
      </c>
      <c r="N299" s="77"/>
      <c r="O299" s="77">
        <v>2175.21</v>
      </c>
      <c r="P299" s="77"/>
      <c r="Q299" s="77">
        <v>3392.16</v>
      </c>
      <c r="R299" s="77"/>
      <c r="S299" s="77">
        <v>2583.9899999999998</v>
      </c>
      <c r="T299" s="77"/>
      <c r="U299" s="77">
        <v>0</v>
      </c>
      <c r="V299" s="77"/>
      <c r="W299" s="77">
        <v>0</v>
      </c>
      <c r="X299" s="77"/>
      <c r="Y299" s="77">
        <v>0</v>
      </c>
      <c r="Z299" s="77"/>
      <c r="AA299" s="77">
        <v>0</v>
      </c>
      <c r="AB299" s="77"/>
      <c r="AC299" s="77">
        <v>0</v>
      </c>
      <c r="AD299" s="77"/>
      <c r="AE299" s="77">
        <v>0</v>
      </c>
      <c r="AF299" s="77"/>
      <c r="AG299" s="77">
        <v>0</v>
      </c>
      <c r="AH299" s="77"/>
      <c r="AI299" s="77">
        <f t="shared" si="12"/>
        <v>174482.09999999998</v>
      </c>
      <c r="AJ299" s="24"/>
      <c r="AK299" s="15" t="str">
        <f>'Gen Rev'!A299</f>
        <v>Huntsville</v>
      </c>
      <c r="AL299" s="15" t="str">
        <f t="shared" si="13"/>
        <v>Huntsville</v>
      </c>
      <c r="AM299" s="15" t="b">
        <f t="shared" si="14"/>
        <v>1</v>
      </c>
      <c r="AN299" s="15"/>
      <c r="AO299" s="15"/>
      <c r="AP299" s="15"/>
    </row>
    <row r="300" spans="1:42" ht="12" customHeight="1" x14ac:dyDescent="0.2">
      <c r="A300" s="1" t="s">
        <v>118</v>
      </c>
      <c r="B300" s="1"/>
      <c r="C300" s="1" t="s">
        <v>770</v>
      </c>
      <c r="E300" s="77">
        <v>15843.34</v>
      </c>
      <c r="F300" s="77"/>
      <c r="G300" s="77">
        <v>0</v>
      </c>
      <c r="H300" s="77"/>
      <c r="I300" s="77">
        <v>97537.14</v>
      </c>
      <c r="J300" s="77"/>
      <c r="K300" s="77">
        <v>0</v>
      </c>
      <c r="L300" s="77"/>
      <c r="M300" s="77">
        <v>85517</v>
      </c>
      <c r="N300" s="77"/>
      <c r="O300" s="77">
        <v>25</v>
      </c>
      <c r="P300" s="77"/>
      <c r="Q300" s="77">
        <v>778.58</v>
      </c>
      <c r="R300" s="77"/>
      <c r="S300" s="77">
        <v>9600.4599999999991</v>
      </c>
      <c r="T300" s="77"/>
      <c r="U300" s="77">
        <v>0</v>
      </c>
      <c r="V300" s="77"/>
      <c r="W300" s="77">
        <v>0</v>
      </c>
      <c r="X300" s="77"/>
      <c r="Y300" s="77">
        <v>0</v>
      </c>
      <c r="Z300" s="77"/>
      <c r="AA300" s="77">
        <v>0</v>
      </c>
      <c r="AB300" s="77"/>
      <c r="AC300" s="77">
        <v>0</v>
      </c>
      <c r="AD300" s="77"/>
      <c r="AE300" s="77">
        <v>0</v>
      </c>
      <c r="AF300" s="77"/>
      <c r="AG300" s="77">
        <v>0</v>
      </c>
      <c r="AH300" s="77"/>
      <c r="AI300" s="77">
        <f t="shared" si="12"/>
        <v>209301.51999999996</v>
      </c>
      <c r="AJ300" s="24"/>
      <c r="AK300" s="15" t="str">
        <f>'Gen Rev'!A300</f>
        <v>Irondale</v>
      </c>
      <c r="AL300" s="15" t="str">
        <f t="shared" si="13"/>
        <v>Irondale</v>
      </c>
      <c r="AM300" s="15" t="b">
        <f t="shared" si="14"/>
        <v>1</v>
      </c>
    </row>
    <row r="301" spans="1:42" s="31" customFormat="1" ht="12" customHeight="1" x14ac:dyDescent="0.2">
      <c r="A301" s="15" t="s">
        <v>687</v>
      </c>
      <c r="B301" s="15"/>
      <c r="C301" s="15" t="s">
        <v>329</v>
      </c>
      <c r="D301" s="15"/>
      <c r="E301" s="77">
        <v>14989</v>
      </c>
      <c r="F301" s="77"/>
      <c r="G301" s="77">
        <v>0</v>
      </c>
      <c r="H301" s="77"/>
      <c r="I301" s="77">
        <v>5521</v>
      </c>
      <c r="J301" s="77"/>
      <c r="K301" s="77">
        <v>0</v>
      </c>
      <c r="L301" s="77"/>
      <c r="M301" s="77">
        <v>0</v>
      </c>
      <c r="N301" s="77"/>
      <c r="O301" s="77">
        <v>0</v>
      </c>
      <c r="P301" s="77"/>
      <c r="Q301" s="77">
        <v>23</v>
      </c>
      <c r="R301" s="77"/>
      <c r="S301" s="77">
        <v>0</v>
      </c>
      <c r="T301" s="77"/>
      <c r="U301" s="77">
        <v>0</v>
      </c>
      <c r="V301" s="77"/>
      <c r="W301" s="77">
        <v>0</v>
      </c>
      <c r="X301" s="77"/>
      <c r="Y301" s="77">
        <v>0</v>
      </c>
      <c r="Z301" s="77"/>
      <c r="AA301" s="77">
        <v>0</v>
      </c>
      <c r="AB301" s="77"/>
      <c r="AC301" s="77">
        <v>0</v>
      </c>
      <c r="AD301" s="77"/>
      <c r="AE301" s="77">
        <v>0</v>
      </c>
      <c r="AF301" s="77"/>
      <c r="AG301" s="77">
        <v>0</v>
      </c>
      <c r="AH301" s="77"/>
      <c r="AI301" s="77">
        <f t="shared" si="12"/>
        <v>20533</v>
      </c>
      <c r="AJ301" s="24"/>
      <c r="AK301" s="15" t="str">
        <f>'Gen Rev'!A301</f>
        <v>Ithaca</v>
      </c>
      <c r="AL301" s="15" t="str">
        <f t="shared" si="13"/>
        <v>Ithaca</v>
      </c>
      <c r="AM301" s="15" t="b">
        <f t="shared" si="14"/>
        <v>1</v>
      </c>
      <c r="AN301" s="32"/>
      <c r="AO301" s="32"/>
      <c r="AP301" s="32"/>
    </row>
    <row r="302" spans="1:42" s="31" customFormat="1" ht="12" customHeight="1" x14ac:dyDescent="0.2">
      <c r="A302" s="1" t="s">
        <v>223</v>
      </c>
      <c r="B302" s="1"/>
      <c r="C302" s="1" t="s">
        <v>803</v>
      </c>
      <c r="D302" s="24"/>
      <c r="E302" s="77">
        <v>161933.18</v>
      </c>
      <c r="F302" s="77"/>
      <c r="G302" s="77">
        <v>697782.57</v>
      </c>
      <c r="H302" s="77"/>
      <c r="I302" s="77">
        <v>289104.86</v>
      </c>
      <c r="J302" s="77"/>
      <c r="K302" s="77">
        <v>0</v>
      </c>
      <c r="L302" s="77"/>
      <c r="M302" s="77">
        <v>72636.53</v>
      </c>
      <c r="N302" s="77"/>
      <c r="O302" s="77">
        <v>20404.29</v>
      </c>
      <c r="P302" s="77"/>
      <c r="Q302" s="77">
        <v>1944.9</v>
      </c>
      <c r="R302" s="77"/>
      <c r="S302" s="77">
        <v>7185.08</v>
      </c>
      <c r="T302" s="77"/>
      <c r="U302" s="77">
        <v>22465</v>
      </c>
      <c r="V302" s="77"/>
      <c r="W302" s="77">
        <v>0</v>
      </c>
      <c r="X302" s="77"/>
      <c r="Y302" s="77">
        <v>0</v>
      </c>
      <c r="Z302" s="77"/>
      <c r="AA302" s="77">
        <v>669849.96</v>
      </c>
      <c r="AB302" s="77"/>
      <c r="AC302" s="77">
        <v>0</v>
      </c>
      <c r="AD302" s="77"/>
      <c r="AE302" s="77">
        <v>0</v>
      </c>
      <c r="AF302" s="77"/>
      <c r="AG302" s="77">
        <v>0</v>
      </c>
      <c r="AH302" s="77"/>
      <c r="AI302" s="77">
        <f t="shared" si="12"/>
        <v>1943306.3699999999</v>
      </c>
      <c r="AJ302" s="24"/>
      <c r="AK302" s="15" t="str">
        <f>'Gen Rev'!A302</f>
        <v>Jackson Center</v>
      </c>
      <c r="AL302" s="15" t="str">
        <f t="shared" si="13"/>
        <v>Jackson Center</v>
      </c>
      <c r="AM302" s="15" t="b">
        <f t="shared" si="14"/>
        <v>1</v>
      </c>
      <c r="AN302" s="29"/>
      <c r="AO302" s="29"/>
      <c r="AP302" s="29"/>
    </row>
    <row r="303" spans="1:42" ht="12" customHeight="1" x14ac:dyDescent="0.2">
      <c r="A303" s="15" t="s">
        <v>689</v>
      </c>
      <c r="C303" s="15" t="s">
        <v>688</v>
      </c>
      <c r="E303" s="77">
        <v>1481</v>
      </c>
      <c r="F303" s="77"/>
      <c r="G303" s="77">
        <v>0</v>
      </c>
      <c r="H303" s="77"/>
      <c r="I303" s="77">
        <v>15191</v>
      </c>
      <c r="J303" s="77"/>
      <c r="K303" s="77">
        <v>0</v>
      </c>
      <c r="L303" s="77"/>
      <c r="M303" s="77">
        <v>0</v>
      </c>
      <c r="N303" s="77"/>
      <c r="O303" s="77">
        <v>0</v>
      </c>
      <c r="P303" s="77"/>
      <c r="Q303" s="77">
        <v>0</v>
      </c>
      <c r="R303" s="77"/>
      <c r="S303" s="77">
        <v>0</v>
      </c>
      <c r="T303" s="77"/>
      <c r="U303" s="77">
        <v>0</v>
      </c>
      <c r="V303" s="77"/>
      <c r="W303" s="77">
        <v>0</v>
      </c>
      <c r="X303" s="77"/>
      <c r="Y303" s="77">
        <v>0</v>
      </c>
      <c r="Z303" s="77"/>
      <c r="AA303" s="77">
        <v>0</v>
      </c>
      <c r="AB303" s="77"/>
      <c r="AC303" s="77">
        <v>0</v>
      </c>
      <c r="AD303" s="77"/>
      <c r="AE303" s="77">
        <v>0</v>
      </c>
      <c r="AF303" s="77"/>
      <c r="AG303" s="77">
        <v>0</v>
      </c>
      <c r="AH303" s="77"/>
      <c r="AI303" s="77">
        <f t="shared" si="12"/>
        <v>16672</v>
      </c>
      <c r="AJ303" s="24"/>
      <c r="AK303" s="15" t="str">
        <f>'Gen Rev'!A303</f>
        <v>Jacksonburg</v>
      </c>
      <c r="AL303" s="15" t="str">
        <f t="shared" si="13"/>
        <v>Jacksonburg</v>
      </c>
      <c r="AM303" s="15" t="b">
        <f t="shared" si="14"/>
        <v>1</v>
      </c>
      <c r="AN303" s="30"/>
      <c r="AO303" s="30"/>
      <c r="AP303" s="30"/>
    </row>
    <row r="304" spans="1:42" s="31" customFormat="1" ht="12" customHeight="1" x14ac:dyDescent="0.2">
      <c r="A304" s="15" t="s">
        <v>958</v>
      </c>
      <c r="B304" s="15"/>
      <c r="C304" s="15" t="s">
        <v>271</v>
      </c>
      <c r="D304" s="15"/>
      <c r="E304" s="77">
        <v>52641</v>
      </c>
      <c r="F304" s="77"/>
      <c r="G304" s="77">
        <v>0</v>
      </c>
      <c r="H304" s="77"/>
      <c r="I304" s="77">
        <v>55522</v>
      </c>
      <c r="J304" s="77"/>
      <c r="K304" s="77">
        <v>0</v>
      </c>
      <c r="L304" s="77"/>
      <c r="M304" s="77">
        <v>10000</v>
      </c>
      <c r="N304" s="77"/>
      <c r="O304" s="77">
        <v>14145</v>
      </c>
      <c r="P304" s="77"/>
      <c r="Q304" s="77">
        <v>15</v>
      </c>
      <c r="R304" s="77"/>
      <c r="S304" s="77">
        <f>3248+15766</f>
        <v>19014</v>
      </c>
      <c r="T304" s="77"/>
      <c r="U304" s="77">
        <v>0</v>
      </c>
      <c r="V304" s="77"/>
      <c r="W304" s="77">
        <v>0</v>
      </c>
      <c r="X304" s="77"/>
      <c r="Y304" s="77">
        <v>0</v>
      </c>
      <c r="Z304" s="77"/>
      <c r="AA304" s="77">
        <v>0</v>
      </c>
      <c r="AB304" s="77"/>
      <c r="AC304" s="77">
        <v>0</v>
      </c>
      <c r="AD304" s="77"/>
      <c r="AE304" s="77">
        <v>0</v>
      </c>
      <c r="AF304" s="77"/>
      <c r="AG304" s="77">
        <v>0</v>
      </c>
      <c r="AH304" s="77"/>
      <c r="AI304" s="77">
        <f t="shared" si="12"/>
        <v>151337</v>
      </c>
      <c r="AJ304" s="24"/>
      <c r="AK304" s="15" t="str">
        <f>'Gen Rev'!A304</f>
        <v>Jacksonville</v>
      </c>
      <c r="AL304" s="15" t="str">
        <f t="shared" si="13"/>
        <v>Jacksonville</v>
      </c>
      <c r="AM304" s="15" t="b">
        <f t="shared" si="14"/>
        <v>1</v>
      </c>
      <c r="AN304" s="30"/>
      <c r="AO304" s="30"/>
      <c r="AP304" s="30"/>
    </row>
    <row r="305" spans="1:42" ht="12" customHeight="1" x14ac:dyDescent="0.2">
      <c r="A305" s="1" t="s">
        <v>84</v>
      </c>
      <c r="B305" s="1"/>
      <c r="C305" s="1" t="s">
        <v>761</v>
      </c>
      <c r="E305" s="77">
        <v>352383.68</v>
      </c>
      <c r="F305" s="77"/>
      <c r="G305" s="77">
        <v>173238.37</v>
      </c>
      <c r="H305" s="77"/>
      <c r="I305" s="77">
        <v>321415.59000000003</v>
      </c>
      <c r="J305" s="77"/>
      <c r="K305" s="77">
        <v>2413.79</v>
      </c>
      <c r="L305" s="77"/>
      <c r="M305" s="77">
        <v>221.45</v>
      </c>
      <c r="N305" s="77"/>
      <c r="O305" s="77">
        <v>34878.400000000001</v>
      </c>
      <c r="P305" s="77"/>
      <c r="Q305" s="77">
        <v>1205.45</v>
      </c>
      <c r="R305" s="77"/>
      <c r="S305" s="77">
        <v>159.75</v>
      </c>
      <c r="T305" s="77"/>
      <c r="U305" s="77">
        <v>0</v>
      </c>
      <c r="V305" s="77"/>
      <c r="W305" s="77">
        <v>0</v>
      </c>
      <c r="X305" s="77"/>
      <c r="Y305" s="77">
        <v>240</v>
      </c>
      <c r="Z305" s="77"/>
      <c r="AA305" s="77">
        <v>67000</v>
      </c>
      <c r="AB305" s="77"/>
      <c r="AC305" s="77">
        <v>0</v>
      </c>
      <c r="AD305" s="77"/>
      <c r="AE305" s="77">
        <v>2119.04</v>
      </c>
      <c r="AF305" s="77"/>
      <c r="AG305" s="77">
        <v>0</v>
      </c>
      <c r="AH305" s="77"/>
      <c r="AI305" s="77">
        <f t="shared" si="12"/>
        <v>955275.52000000014</v>
      </c>
      <c r="AJ305" s="24"/>
      <c r="AK305" s="15" t="str">
        <f>'Gen Rev'!A305</f>
        <v>Jamestown</v>
      </c>
      <c r="AL305" s="15" t="str">
        <f t="shared" si="13"/>
        <v>Jamestown</v>
      </c>
      <c r="AM305" s="15" t="b">
        <f t="shared" si="14"/>
        <v>1</v>
      </c>
      <c r="AN305" s="31"/>
      <c r="AO305" s="31"/>
      <c r="AP305" s="31"/>
    </row>
    <row r="306" spans="1:42" ht="12" customHeight="1" x14ac:dyDescent="0.2">
      <c r="A306" s="15" t="s">
        <v>690</v>
      </c>
      <c r="C306" s="15" t="s">
        <v>671</v>
      </c>
      <c r="E306" s="77">
        <v>2726329</v>
      </c>
      <c r="F306" s="77"/>
      <c r="G306" s="77">
        <v>0</v>
      </c>
      <c r="H306" s="77"/>
      <c r="I306" s="77">
        <f>196800+70425</f>
        <v>267225</v>
      </c>
      <c r="J306" s="77"/>
      <c r="K306" s="77">
        <v>142595</v>
      </c>
      <c r="L306" s="77"/>
      <c r="M306" s="77">
        <v>236498</v>
      </c>
      <c r="N306" s="77"/>
      <c r="O306" s="77">
        <v>42975</v>
      </c>
      <c r="P306" s="77"/>
      <c r="Q306" s="77">
        <v>1983</v>
      </c>
      <c r="R306" s="77"/>
      <c r="S306" s="77">
        <v>125549</v>
      </c>
      <c r="T306" s="77"/>
      <c r="U306" s="77">
        <v>0</v>
      </c>
      <c r="V306" s="77"/>
      <c r="W306" s="77">
        <v>0</v>
      </c>
      <c r="X306" s="77"/>
      <c r="Y306" s="77">
        <v>0</v>
      </c>
      <c r="Z306" s="77"/>
      <c r="AA306" s="77">
        <v>55015</v>
      </c>
      <c r="AB306" s="77"/>
      <c r="AC306" s="77">
        <v>0</v>
      </c>
      <c r="AD306" s="77"/>
      <c r="AE306" s="77">
        <v>15889</v>
      </c>
      <c r="AF306" s="77"/>
      <c r="AG306" s="77">
        <v>0</v>
      </c>
      <c r="AH306" s="77"/>
      <c r="AI306" s="77">
        <f t="shared" si="12"/>
        <v>3614058</v>
      </c>
      <c r="AJ306" s="24"/>
      <c r="AK306" s="15" t="str">
        <f>'Gen Rev'!A306</f>
        <v xml:space="preserve">Jefferson  </v>
      </c>
      <c r="AL306" s="15" t="str">
        <f t="shared" si="13"/>
        <v xml:space="preserve">Jefferson  </v>
      </c>
      <c r="AM306" s="15" t="b">
        <f t="shared" si="14"/>
        <v>1</v>
      </c>
      <c r="AN306" s="30"/>
      <c r="AO306" s="30"/>
      <c r="AP306" s="30"/>
    </row>
    <row r="307" spans="1:42" ht="12" customHeight="1" x14ac:dyDescent="0.2">
      <c r="A307" s="1" t="s">
        <v>69</v>
      </c>
      <c r="B307" s="1"/>
      <c r="C307" s="1" t="s">
        <v>757</v>
      </c>
      <c r="E307" s="77">
        <v>158814.23000000001</v>
      </c>
      <c r="F307" s="77"/>
      <c r="G307" s="77">
        <v>200329.64</v>
      </c>
      <c r="H307" s="77"/>
      <c r="I307" s="77">
        <v>84845.09</v>
      </c>
      <c r="J307" s="77"/>
      <c r="K307" s="77">
        <v>0</v>
      </c>
      <c r="L307" s="77"/>
      <c r="M307" s="77">
        <v>49674.47</v>
      </c>
      <c r="N307" s="77"/>
      <c r="O307" s="77">
        <v>24364.61</v>
      </c>
      <c r="P307" s="77"/>
      <c r="Q307" s="77">
        <v>97.16</v>
      </c>
      <c r="R307" s="77"/>
      <c r="S307" s="77">
        <v>26788.49</v>
      </c>
      <c r="T307" s="77"/>
      <c r="U307" s="77">
        <v>0</v>
      </c>
      <c r="V307" s="77"/>
      <c r="W307" s="77">
        <v>0</v>
      </c>
      <c r="X307" s="77"/>
      <c r="Y307" s="77">
        <v>0</v>
      </c>
      <c r="Z307" s="77"/>
      <c r="AA307" s="77">
        <v>0</v>
      </c>
      <c r="AB307" s="77"/>
      <c r="AC307" s="77">
        <v>0</v>
      </c>
      <c r="AD307" s="77"/>
      <c r="AE307" s="77">
        <v>0</v>
      </c>
      <c r="AF307" s="77"/>
      <c r="AG307" s="77">
        <v>0</v>
      </c>
      <c r="AH307" s="77"/>
      <c r="AI307" s="77">
        <f t="shared" si="12"/>
        <v>544913.68999999994</v>
      </c>
      <c r="AJ307" s="24"/>
      <c r="AK307" s="15" t="str">
        <f>'Gen Rev'!A307</f>
        <v>Jeffersonville</v>
      </c>
      <c r="AL307" s="15" t="str">
        <f t="shared" si="13"/>
        <v>Jeffersonville</v>
      </c>
      <c r="AM307" s="15" t="b">
        <f t="shared" si="14"/>
        <v>1</v>
      </c>
      <c r="AN307" s="31"/>
      <c r="AO307" s="31"/>
      <c r="AP307" s="31"/>
    </row>
    <row r="308" spans="1:42" s="31" customFormat="1" ht="12" customHeight="1" x14ac:dyDescent="0.2">
      <c r="A308" s="1" t="s">
        <v>691</v>
      </c>
      <c r="B308" s="1"/>
      <c r="C308" s="1" t="s">
        <v>388</v>
      </c>
      <c r="D308" s="15"/>
      <c r="E308" s="77">
        <v>22268.31</v>
      </c>
      <c r="F308" s="77"/>
      <c r="G308" s="77">
        <v>0</v>
      </c>
      <c r="H308" s="77"/>
      <c r="I308" s="77">
        <v>28743.06</v>
      </c>
      <c r="J308" s="77"/>
      <c r="K308" s="77">
        <v>6278.82</v>
      </c>
      <c r="L308" s="77"/>
      <c r="M308" s="77">
        <v>37564.379999999997</v>
      </c>
      <c r="N308" s="77"/>
      <c r="O308" s="77">
        <v>0</v>
      </c>
      <c r="P308" s="77"/>
      <c r="Q308" s="77">
        <v>302.37</v>
      </c>
      <c r="R308" s="77"/>
      <c r="S308" s="77">
        <v>29319.9</v>
      </c>
      <c r="T308" s="77"/>
      <c r="U308" s="77">
        <v>0</v>
      </c>
      <c r="V308" s="77"/>
      <c r="W308" s="77">
        <v>0</v>
      </c>
      <c r="X308" s="77"/>
      <c r="Y308" s="77">
        <v>0</v>
      </c>
      <c r="Z308" s="77"/>
      <c r="AA308" s="77">
        <v>93305.29</v>
      </c>
      <c r="AB308" s="77"/>
      <c r="AC308" s="77">
        <v>0</v>
      </c>
      <c r="AD308" s="77"/>
      <c r="AE308" s="77">
        <v>0</v>
      </c>
      <c r="AF308" s="77"/>
      <c r="AG308" s="77">
        <v>0</v>
      </c>
      <c r="AH308" s="77"/>
      <c r="AI308" s="77">
        <f t="shared" si="12"/>
        <v>217782.13</v>
      </c>
      <c r="AJ308" s="24"/>
      <c r="AK308" s="15" t="str">
        <f>'Gen Rev'!A308</f>
        <v>Jenera</v>
      </c>
      <c r="AL308" s="15" t="str">
        <f t="shared" si="13"/>
        <v>Jenera</v>
      </c>
      <c r="AM308" s="15" t="b">
        <f t="shared" si="14"/>
        <v>1</v>
      </c>
    </row>
    <row r="309" spans="1:42" s="31" customFormat="1" ht="12" customHeight="1" x14ac:dyDescent="0.2">
      <c r="A309" s="24"/>
      <c r="B309" s="24"/>
      <c r="C309" s="24"/>
      <c r="D309" s="24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24"/>
      <c r="AK309" s="15"/>
      <c r="AL309" s="15"/>
      <c r="AM309" s="15"/>
      <c r="AN309" s="29"/>
      <c r="AO309" s="29"/>
      <c r="AP309" s="29"/>
    </row>
    <row r="310" spans="1:42" s="31" customFormat="1" ht="12" customHeight="1" x14ac:dyDescent="0.2">
      <c r="A310" s="24"/>
      <c r="B310" s="24"/>
      <c r="C310" s="24"/>
      <c r="D310" s="24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 t="s">
        <v>850</v>
      </c>
      <c r="AJ310" s="24"/>
      <c r="AK310" s="15"/>
      <c r="AL310" s="15"/>
      <c r="AM310" s="15"/>
      <c r="AN310" s="29"/>
      <c r="AO310" s="29"/>
      <c r="AP310" s="29"/>
    </row>
    <row r="311" spans="1:42" s="31" customFormat="1" ht="12" customHeight="1" x14ac:dyDescent="0.2">
      <c r="A311" s="24"/>
      <c r="B311" s="24"/>
      <c r="C311" s="24"/>
      <c r="D311" s="24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24"/>
      <c r="AK311" s="15"/>
      <c r="AL311" s="15"/>
      <c r="AM311" s="15"/>
      <c r="AN311" s="29"/>
      <c r="AO311" s="29"/>
      <c r="AP311" s="29"/>
    </row>
    <row r="312" spans="1:42" ht="12" customHeight="1" x14ac:dyDescent="0.2">
      <c r="A312" s="15" t="s">
        <v>692</v>
      </c>
      <c r="C312" s="15" t="s">
        <v>666</v>
      </c>
      <c r="E312" s="89">
        <v>32882</v>
      </c>
      <c r="F312" s="89"/>
      <c r="G312" s="89">
        <v>0</v>
      </c>
      <c r="H312" s="89"/>
      <c r="I312" s="89">
        <v>57271</v>
      </c>
      <c r="J312" s="89"/>
      <c r="K312" s="89">
        <v>0</v>
      </c>
      <c r="L312" s="89"/>
      <c r="M312" s="89">
        <v>14760</v>
      </c>
      <c r="N312" s="89"/>
      <c r="O312" s="89">
        <v>0</v>
      </c>
      <c r="P312" s="89"/>
      <c r="Q312" s="89">
        <v>346</v>
      </c>
      <c r="R312" s="89"/>
      <c r="S312" s="89">
        <v>300</v>
      </c>
      <c r="T312" s="89"/>
      <c r="U312" s="89">
        <v>0</v>
      </c>
      <c r="V312" s="89"/>
      <c r="W312" s="89">
        <v>48024</v>
      </c>
      <c r="X312" s="89"/>
      <c r="Y312" s="89">
        <v>0</v>
      </c>
      <c r="Z312" s="89"/>
      <c r="AA312" s="89">
        <v>0</v>
      </c>
      <c r="AB312" s="89"/>
      <c r="AC312" s="89">
        <v>0</v>
      </c>
      <c r="AD312" s="89"/>
      <c r="AE312" s="89">
        <v>0</v>
      </c>
      <c r="AF312" s="89"/>
      <c r="AG312" s="89">
        <v>0</v>
      </c>
      <c r="AH312" s="89"/>
      <c r="AI312" s="89">
        <f t="shared" si="12"/>
        <v>153583</v>
      </c>
      <c r="AJ312" s="24"/>
      <c r="AK312" s="15" t="str">
        <f>'Gen Rev'!A312</f>
        <v>Jeromesville</v>
      </c>
      <c r="AL312" s="15" t="str">
        <f t="shared" si="13"/>
        <v>Jeromesville</v>
      </c>
      <c r="AM312" s="15" t="b">
        <f t="shared" si="14"/>
        <v>1</v>
      </c>
      <c r="AN312" s="30"/>
      <c r="AO312" s="30"/>
      <c r="AP312" s="30"/>
    </row>
    <row r="313" spans="1:42" ht="12" customHeight="1" x14ac:dyDescent="0.2">
      <c r="A313" s="1" t="s">
        <v>693</v>
      </c>
      <c r="B313" s="1"/>
      <c r="C313" s="1" t="s">
        <v>601</v>
      </c>
      <c r="E313" s="77">
        <v>26219.41</v>
      </c>
      <c r="F313" s="77"/>
      <c r="G313" s="77">
        <v>0</v>
      </c>
      <c r="H313" s="77"/>
      <c r="I313" s="77">
        <v>31557.68</v>
      </c>
      <c r="J313" s="77"/>
      <c r="K313" s="77">
        <v>5195.74</v>
      </c>
      <c r="L313" s="77"/>
      <c r="M313" s="77">
        <v>0</v>
      </c>
      <c r="N313" s="77"/>
      <c r="O313" s="77">
        <v>1652.78</v>
      </c>
      <c r="P313" s="77"/>
      <c r="Q313" s="77">
        <v>32.229999999999997</v>
      </c>
      <c r="R313" s="77"/>
      <c r="S313" s="77">
        <v>5047.1499999999996</v>
      </c>
      <c r="T313" s="77"/>
      <c r="U313" s="77">
        <v>0</v>
      </c>
      <c r="V313" s="77"/>
      <c r="W313" s="77">
        <v>0</v>
      </c>
      <c r="X313" s="77"/>
      <c r="Y313" s="77">
        <v>0</v>
      </c>
      <c r="Z313" s="77"/>
      <c r="AA313" s="77">
        <v>0</v>
      </c>
      <c r="AB313" s="77"/>
      <c r="AC313" s="77">
        <v>23000</v>
      </c>
      <c r="AD313" s="77"/>
      <c r="AE313" s="77">
        <v>0</v>
      </c>
      <c r="AF313" s="77"/>
      <c r="AG313" s="77">
        <v>90.2</v>
      </c>
      <c r="AH313" s="77"/>
      <c r="AI313" s="77">
        <f t="shared" si="12"/>
        <v>92795.189999999988</v>
      </c>
      <c r="AJ313" s="24"/>
      <c r="AK313" s="15" t="str">
        <f>'Gen Rev'!A313</f>
        <v>Jerry City</v>
      </c>
      <c r="AL313" s="15" t="str">
        <f t="shared" si="13"/>
        <v>Jerry City</v>
      </c>
      <c r="AM313" s="15" t="b">
        <f t="shared" si="14"/>
        <v>1</v>
      </c>
    </row>
    <row r="314" spans="1:42" s="31" customFormat="1" ht="12" customHeight="1" x14ac:dyDescent="0.2">
      <c r="A314" s="15" t="s">
        <v>102</v>
      </c>
      <c r="B314" s="15"/>
      <c r="C314" s="15" t="s">
        <v>403</v>
      </c>
      <c r="D314" s="15"/>
      <c r="E314" s="77">
        <v>53807.96</v>
      </c>
      <c r="F314" s="77"/>
      <c r="G314" s="77">
        <v>39509.22</v>
      </c>
      <c r="H314" s="77"/>
      <c r="I314" s="77">
        <v>62419.66</v>
      </c>
      <c r="J314" s="77"/>
      <c r="K314" s="77">
        <v>38.67</v>
      </c>
      <c r="L314" s="77"/>
      <c r="M314" s="77">
        <v>5000</v>
      </c>
      <c r="N314" s="77"/>
      <c r="O314" s="77">
        <v>10871.88</v>
      </c>
      <c r="P314" s="77"/>
      <c r="Q314" s="77">
        <v>587.54999999999995</v>
      </c>
      <c r="R314" s="77"/>
      <c r="S314" s="77">
        <v>42946.6</v>
      </c>
      <c r="T314" s="77"/>
      <c r="U314" s="77">
        <v>0</v>
      </c>
      <c r="V314" s="77"/>
      <c r="W314" s="77">
        <v>0</v>
      </c>
      <c r="X314" s="77"/>
      <c r="Y314" s="77">
        <v>0</v>
      </c>
      <c r="Z314" s="77"/>
      <c r="AA314" s="77">
        <v>0</v>
      </c>
      <c r="AB314" s="77"/>
      <c r="AC314" s="77">
        <v>0</v>
      </c>
      <c r="AD314" s="77"/>
      <c r="AE314" s="77">
        <v>14670.54</v>
      </c>
      <c r="AF314" s="77"/>
      <c r="AG314" s="77">
        <v>0</v>
      </c>
      <c r="AH314" s="77"/>
      <c r="AI314" s="77">
        <f t="shared" si="12"/>
        <v>229852.08000000002</v>
      </c>
      <c r="AJ314" s="24"/>
      <c r="AK314" s="15" t="str">
        <f>'Gen Rev'!A314</f>
        <v>Jewett</v>
      </c>
      <c r="AL314" s="15" t="str">
        <f t="shared" si="13"/>
        <v>Jewett</v>
      </c>
      <c r="AM314" s="15" t="b">
        <f t="shared" si="14"/>
        <v>1</v>
      </c>
    </row>
    <row r="315" spans="1:42" ht="12" hidden="1" customHeight="1" x14ac:dyDescent="0.2">
      <c r="A315" s="15" t="s">
        <v>131</v>
      </c>
      <c r="C315" s="15" t="s">
        <v>439</v>
      </c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>
        <f t="shared" si="12"/>
        <v>0</v>
      </c>
      <c r="AJ315" s="24"/>
      <c r="AK315" s="15" t="str">
        <f>'Gen Rev'!A315</f>
        <v>Johnstown</v>
      </c>
      <c r="AL315" s="15" t="str">
        <f t="shared" si="13"/>
        <v>Johnstown</v>
      </c>
      <c r="AM315" s="15" t="b">
        <f t="shared" si="14"/>
        <v>1</v>
      </c>
    </row>
    <row r="316" spans="1:42" s="31" customFormat="1" ht="12" customHeight="1" x14ac:dyDescent="0.2">
      <c r="A316" s="15" t="s">
        <v>694</v>
      </c>
      <c r="B316" s="15"/>
      <c r="C316" s="15" t="s">
        <v>500</v>
      </c>
      <c r="D316" s="15"/>
      <c r="E316" s="77">
        <v>25160</v>
      </c>
      <c r="F316" s="77"/>
      <c r="G316" s="77">
        <v>0</v>
      </c>
      <c r="H316" s="77"/>
      <c r="I316" s="77">
        <v>47742</v>
      </c>
      <c r="J316" s="77"/>
      <c r="K316" s="77">
        <v>17693</v>
      </c>
      <c r="L316" s="77"/>
      <c r="M316" s="77">
        <v>199454</v>
      </c>
      <c r="N316" s="77"/>
      <c r="O316" s="77">
        <v>5382</v>
      </c>
      <c r="P316" s="77"/>
      <c r="Q316" s="77">
        <v>3429</v>
      </c>
      <c r="R316" s="77"/>
      <c r="S316" s="77">
        <v>19811</v>
      </c>
      <c r="T316" s="77"/>
      <c r="U316" s="77">
        <v>0</v>
      </c>
      <c r="V316" s="77"/>
      <c r="W316" s="77">
        <v>0</v>
      </c>
      <c r="X316" s="77"/>
      <c r="Y316" s="77">
        <v>0</v>
      </c>
      <c r="Z316" s="77"/>
      <c r="AA316" s="77">
        <v>0</v>
      </c>
      <c r="AB316" s="77"/>
      <c r="AC316" s="77">
        <v>0</v>
      </c>
      <c r="AD316" s="77"/>
      <c r="AE316" s="77">
        <v>0</v>
      </c>
      <c r="AF316" s="77"/>
      <c r="AG316" s="77">
        <v>0</v>
      </c>
      <c r="AH316" s="77"/>
      <c r="AI316" s="77">
        <f t="shared" si="12"/>
        <v>318671</v>
      </c>
      <c r="AJ316" s="24"/>
      <c r="AK316" s="15" t="str">
        <f>'Gen Rev'!A316</f>
        <v>Junction City</v>
      </c>
      <c r="AL316" s="15" t="str">
        <f t="shared" si="13"/>
        <v>Junction City</v>
      </c>
      <c r="AM316" s="15" t="b">
        <f t="shared" si="14"/>
        <v>1</v>
      </c>
      <c r="AN316" s="15"/>
      <c r="AO316" s="15"/>
      <c r="AP316" s="15"/>
    </row>
    <row r="317" spans="1:42" ht="12" customHeight="1" x14ac:dyDescent="0.2">
      <c r="A317" s="1" t="s">
        <v>829</v>
      </c>
      <c r="B317" s="1"/>
      <c r="C317" s="1" t="s">
        <v>513</v>
      </c>
      <c r="E317" s="77">
        <v>98342.85</v>
      </c>
      <c r="F317" s="77"/>
      <c r="G317" s="77">
        <v>543875.61</v>
      </c>
      <c r="H317" s="77"/>
      <c r="I317" s="77">
        <v>314896.08</v>
      </c>
      <c r="J317" s="77"/>
      <c r="K317" s="77">
        <v>6590</v>
      </c>
      <c r="L317" s="77"/>
      <c r="M317" s="77">
        <v>62282.27</v>
      </c>
      <c r="N317" s="77"/>
      <c r="O317" s="77">
        <v>2979.5</v>
      </c>
      <c r="P317" s="77"/>
      <c r="Q317" s="77">
        <v>1672.42</v>
      </c>
      <c r="R317" s="77"/>
      <c r="S317" s="77">
        <v>95896.67</v>
      </c>
      <c r="T317" s="77"/>
      <c r="U317" s="77">
        <v>0</v>
      </c>
      <c r="V317" s="77"/>
      <c r="W317" s="77">
        <v>0</v>
      </c>
      <c r="X317" s="77"/>
      <c r="Y317" s="77">
        <v>0</v>
      </c>
      <c r="Z317" s="77"/>
      <c r="AA317" s="77">
        <v>62000</v>
      </c>
      <c r="AB317" s="77"/>
      <c r="AC317" s="77">
        <v>19550.53</v>
      </c>
      <c r="AD317" s="77"/>
      <c r="AE317" s="77">
        <v>0</v>
      </c>
      <c r="AF317" s="77"/>
      <c r="AG317" s="77">
        <v>0</v>
      </c>
      <c r="AH317" s="77"/>
      <c r="AI317" s="77">
        <f t="shared" si="12"/>
        <v>1208085.9300000002</v>
      </c>
      <c r="AJ317" s="24"/>
      <c r="AK317" s="15" t="str">
        <f>'Gen Rev'!A317</f>
        <v>Kalida</v>
      </c>
      <c r="AL317" s="15" t="str">
        <f t="shared" si="13"/>
        <v>Kalida</v>
      </c>
      <c r="AM317" s="15" t="b">
        <f t="shared" si="14"/>
        <v>1</v>
      </c>
    </row>
    <row r="318" spans="1:42" s="31" customFormat="1" ht="12" customHeight="1" x14ac:dyDescent="0.2">
      <c r="A318" s="15" t="s">
        <v>695</v>
      </c>
      <c r="B318" s="15"/>
      <c r="C318" s="15" t="s">
        <v>348</v>
      </c>
      <c r="D318" s="15"/>
      <c r="E318" s="77">
        <v>553608</v>
      </c>
      <c r="F318" s="77"/>
      <c r="G318" s="77">
        <v>0</v>
      </c>
      <c r="H318" s="77"/>
      <c r="I318" s="77">
        <v>1115040</v>
      </c>
      <c r="J318" s="77"/>
      <c r="K318" s="77">
        <v>0</v>
      </c>
      <c r="L318" s="77"/>
      <c r="M318" s="77">
        <v>8700</v>
      </c>
      <c r="N318" s="77"/>
      <c r="O318" s="77">
        <v>43835</v>
      </c>
      <c r="P318" s="77"/>
      <c r="Q318" s="77">
        <v>988</v>
      </c>
      <c r="R318" s="77"/>
      <c r="S318" s="77">
        <v>114347</v>
      </c>
      <c r="T318" s="77"/>
      <c r="U318" s="77">
        <v>0</v>
      </c>
      <c r="V318" s="77"/>
      <c r="W318" s="77">
        <v>0</v>
      </c>
      <c r="X318" s="77"/>
      <c r="Y318" s="77">
        <v>0</v>
      </c>
      <c r="Z318" s="77"/>
      <c r="AA318" s="77">
        <v>16</v>
      </c>
      <c r="AB318" s="77"/>
      <c r="AC318" s="77">
        <v>22000</v>
      </c>
      <c r="AD318" s="77"/>
      <c r="AE318" s="77">
        <v>0</v>
      </c>
      <c r="AF318" s="77"/>
      <c r="AG318" s="77">
        <v>0</v>
      </c>
      <c r="AH318" s="77"/>
      <c r="AI318" s="77">
        <f t="shared" si="12"/>
        <v>1858534</v>
      </c>
      <c r="AJ318" s="24"/>
      <c r="AK318" s="15" t="str">
        <f>'Gen Rev'!A318</f>
        <v>Kelley's Island</v>
      </c>
      <c r="AL318" s="15" t="str">
        <f t="shared" si="13"/>
        <v>Kelley's Island</v>
      </c>
      <c r="AM318" s="15" t="b">
        <f t="shared" si="14"/>
        <v>1</v>
      </c>
      <c r="AN318" s="32"/>
      <c r="AO318" s="32"/>
      <c r="AP318" s="32"/>
    </row>
    <row r="319" spans="1:42" ht="12" customHeight="1" x14ac:dyDescent="0.2">
      <c r="A319" s="15" t="s">
        <v>961</v>
      </c>
      <c r="C319" s="15" t="s">
        <v>536</v>
      </c>
      <c r="E319" s="77">
        <v>6486</v>
      </c>
      <c r="F319" s="77"/>
      <c r="G319" s="77">
        <v>13989</v>
      </c>
      <c r="H319" s="77"/>
      <c r="I319" s="77">
        <v>80453</v>
      </c>
      <c r="J319" s="77"/>
      <c r="K319" s="77">
        <v>0</v>
      </c>
      <c r="L319" s="77"/>
      <c r="M319" s="77">
        <v>0</v>
      </c>
      <c r="N319" s="77"/>
      <c r="O319" s="77">
        <v>1494</v>
      </c>
      <c r="P319" s="77"/>
      <c r="Q319" s="77">
        <v>203</v>
      </c>
      <c r="R319" s="77"/>
      <c r="S319" s="77">
        <v>4210</v>
      </c>
      <c r="T319" s="77"/>
      <c r="U319" s="77">
        <v>0</v>
      </c>
      <c r="V319" s="77"/>
      <c r="W319" s="77">
        <v>0</v>
      </c>
      <c r="X319" s="77"/>
      <c r="Y319" s="77">
        <v>0</v>
      </c>
      <c r="Z319" s="77"/>
      <c r="AA319" s="77">
        <v>0</v>
      </c>
      <c r="AB319" s="77"/>
      <c r="AC319" s="77">
        <v>0</v>
      </c>
      <c r="AD319" s="77"/>
      <c r="AE319" s="77">
        <v>0</v>
      </c>
      <c r="AF319" s="77"/>
      <c r="AG319" s="77">
        <v>0</v>
      </c>
      <c r="AH319" s="77"/>
      <c r="AI319" s="77">
        <f t="shared" si="12"/>
        <v>106835</v>
      </c>
      <c r="AJ319" s="24"/>
      <c r="AK319" s="15" t="str">
        <f>'Gen Rev'!A319</f>
        <v>Kettlersville</v>
      </c>
      <c r="AL319" s="15" t="str">
        <f t="shared" si="13"/>
        <v>Kettlersville</v>
      </c>
      <c r="AM319" s="15" t="b">
        <f t="shared" si="14"/>
        <v>1</v>
      </c>
      <c r="AN319" s="31"/>
      <c r="AO319" s="31"/>
      <c r="AP319" s="31"/>
    </row>
    <row r="320" spans="1:42" ht="12" customHeight="1" x14ac:dyDescent="0.2">
      <c r="A320" s="15" t="s">
        <v>889</v>
      </c>
      <c r="C320" s="15" t="s">
        <v>412</v>
      </c>
      <c r="E320" s="77">
        <v>46136</v>
      </c>
      <c r="F320" s="77"/>
      <c r="G320" s="77">
        <v>104359</v>
      </c>
      <c r="H320" s="77"/>
      <c r="I320" s="77">
        <v>206690</v>
      </c>
      <c r="J320" s="77"/>
      <c r="K320" s="77">
        <v>0</v>
      </c>
      <c r="L320" s="77"/>
      <c r="M320" s="77">
        <v>1401</v>
      </c>
      <c r="N320" s="77"/>
      <c r="O320" s="77">
        <v>0</v>
      </c>
      <c r="P320" s="77"/>
      <c r="Q320" s="77">
        <v>334</v>
      </c>
      <c r="R320" s="77"/>
      <c r="S320" s="77">
        <v>11564</v>
      </c>
      <c r="T320" s="77"/>
      <c r="U320" s="77">
        <v>0</v>
      </c>
      <c r="V320" s="77"/>
      <c r="W320" s="77">
        <v>0</v>
      </c>
      <c r="X320" s="77"/>
      <c r="Y320" s="77">
        <v>0</v>
      </c>
      <c r="Z320" s="77"/>
      <c r="AA320" s="77">
        <v>0</v>
      </c>
      <c r="AB320" s="77"/>
      <c r="AC320" s="77">
        <v>0</v>
      </c>
      <c r="AD320" s="77"/>
      <c r="AE320" s="77">
        <v>0</v>
      </c>
      <c r="AF320" s="77"/>
      <c r="AG320" s="77">
        <v>0</v>
      </c>
      <c r="AH320" s="77"/>
      <c r="AI320" s="77">
        <f t="shared" si="12"/>
        <v>370484</v>
      </c>
      <c r="AJ320" s="24"/>
      <c r="AK320" s="15" t="str">
        <f>'Gen Rev'!A320</f>
        <v>Killbuck</v>
      </c>
      <c r="AL320" s="15" t="str">
        <f t="shared" si="13"/>
        <v>Killbuck</v>
      </c>
      <c r="AM320" s="15" t="b">
        <f t="shared" si="14"/>
        <v>1</v>
      </c>
    </row>
    <row r="321" spans="1:42" s="31" customFormat="1" ht="12" customHeight="1" x14ac:dyDescent="0.2">
      <c r="A321" s="1" t="s">
        <v>213</v>
      </c>
      <c r="B321" s="1"/>
      <c r="C321" s="1" t="s">
        <v>799</v>
      </c>
      <c r="D321" s="15"/>
      <c r="E321" s="77">
        <v>18309.86</v>
      </c>
      <c r="F321" s="77"/>
      <c r="G321" s="77">
        <v>0</v>
      </c>
      <c r="H321" s="77"/>
      <c r="I321" s="77">
        <v>79937.259999999995</v>
      </c>
      <c r="J321" s="77"/>
      <c r="K321" s="77">
        <v>0</v>
      </c>
      <c r="L321" s="77"/>
      <c r="M321" s="77">
        <v>0</v>
      </c>
      <c r="N321" s="77"/>
      <c r="O321" s="77">
        <v>175</v>
      </c>
      <c r="P321" s="77"/>
      <c r="Q321" s="77">
        <v>6498.83</v>
      </c>
      <c r="R321" s="77"/>
      <c r="S321" s="77">
        <v>4744.58</v>
      </c>
      <c r="T321" s="77"/>
      <c r="U321" s="77">
        <v>0</v>
      </c>
      <c r="V321" s="77"/>
      <c r="W321" s="77">
        <v>0</v>
      </c>
      <c r="X321" s="77"/>
      <c r="Y321" s="77">
        <v>0</v>
      </c>
      <c r="Z321" s="77"/>
      <c r="AA321" s="77">
        <v>0</v>
      </c>
      <c r="AB321" s="77"/>
      <c r="AC321" s="77">
        <v>0</v>
      </c>
      <c r="AD321" s="77"/>
      <c r="AE321" s="77">
        <v>0</v>
      </c>
      <c r="AF321" s="77"/>
      <c r="AG321" s="77">
        <v>0</v>
      </c>
      <c r="AH321" s="77"/>
      <c r="AI321" s="77">
        <f t="shared" si="12"/>
        <v>109665.53</v>
      </c>
      <c r="AJ321" s="24"/>
      <c r="AK321" s="15" t="str">
        <f>'Gen Rev'!A321</f>
        <v>Kingston</v>
      </c>
      <c r="AL321" s="15" t="str">
        <f t="shared" si="13"/>
        <v>Kingston</v>
      </c>
      <c r="AM321" s="15" t="b">
        <f t="shared" si="14"/>
        <v>1</v>
      </c>
    </row>
    <row r="322" spans="1:42" s="31" customFormat="1" ht="12" customHeight="1" x14ac:dyDescent="0.2">
      <c r="A322" s="1" t="s">
        <v>136</v>
      </c>
      <c r="B322" s="1"/>
      <c r="C322" s="1" t="s">
        <v>776</v>
      </c>
      <c r="D322" s="15"/>
      <c r="E322" s="77">
        <v>25378.55</v>
      </c>
      <c r="F322" s="77"/>
      <c r="G322" s="77">
        <v>0</v>
      </c>
      <c r="H322" s="77"/>
      <c r="I322" s="77">
        <v>32643.58</v>
      </c>
      <c r="J322" s="77"/>
      <c r="K322" s="77">
        <v>0</v>
      </c>
      <c r="L322" s="77"/>
      <c r="M322" s="77">
        <v>5273.8</v>
      </c>
      <c r="N322" s="77"/>
      <c r="O322" s="77">
        <v>413.11</v>
      </c>
      <c r="P322" s="77"/>
      <c r="Q322" s="77">
        <v>0</v>
      </c>
      <c r="R322" s="77"/>
      <c r="S322" s="77">
        <v>499.06</v>
      </c>
      <c r="T322" s="77"/>
      <c r="U322" s="77">
        <v>0</v>
      </c>
      <c r="V322" s="77"/>
      <c r="W322" s="77">
        <v>0</v>
      </c>
      <c r="X322" s="77"/>
      <c r="Y322" s="77">
        <v>0</v>
      </c>
      <c r="Z322" s="77"/>
      <c r="AA322" s="77">
        <v>0</v>
      </c>
      <c r="AB322" s="77"/>
      <c r="AC322" s="77">
        <v>0</v>
      </c>
      <c r="AD322" s="77"/>
      <c r="AE322" s="77">
        <v>0</v>
      </c>
      <c r="AF322" s="77"/>
      <c r="AG322" s="77">
        <v>0</v>
      </c>
      <c r="AH322" s="77"/>
      <c r="AI322" s="77">
        <f t="shared" si="12"/>
        <v>64208.100000000006</v>
      </c>
      <c r="AJ322" s="24"/>
      <c r="AK322" s="15" t="str">
        <f>'Gen Rev'!A322</f>
        <v>Kipton</v>
      </c>
      <c r="AL322" s="15" t="str">
        <f t="shared" si="13"/>
        <v>Kipton</v>
      </c>
      <c r="AM322" s="15" t="b">
        <f t="shared" si="14"/>
        <v>1</v>
      </c>
      <c r="AN322" s="15"/>
      <c r="AO322" s="15"/>
      <c r="AP322" s="15"/>
    </row>
    <row r="323" spans="1:42" ht="12" customHeight="1" x14ac:dyDescent="0.2">
      <c r="A323" s="1" t="s">
        <v>265</v>
      </c>
      <c r="B323" s="1"/>
      <c r="C323" s="1" t="s">
        <v>814</v>
      </c>
      <c r="E323" s="77">
        <v>683.52</v>
      </c>
      <c r="F323" s="77"/>
      <c r="G323" s="77">
        <v>12915.05</v>
      </c>
      <c r="H323" s="77"/>
      <c r="I323" s="77">
        <v>11229.41</v>
      </c>
      <c r="J323" s="77"/>
      <c r="K323" s="77">
        <v>0</v>
      </c>
      <c r="L323" s="77"/>
      <c r="M323" s="77">
        <v>0</v>
      </c>
      <c r="N323" s="77"/>
      <c r="O323" s="77">
        <v>0</v>
      </c>
      <c r="P323" s="77"/>
      <c r="Q323" s="77">
        <v>200.68</v>
      </c>
      <c r="R323" s="77"/>
      <c r="S323" s="77">
        <v>0</v>
      </c>
      <c r="T323" s="77"/>
      <c r="U323" s="77">
        <v>0</v>
      </c>
      <c r="V323" s="77"/>
      <c r="W323" s="77">
        <v>0</v>
      </c>
      <c r="X323" s="77"/>
      <c r="Y323" s="77">
        <v>0</v>
      </c>
      <c r="Z323" s="77"/>
      <c r="AA323" s="77">
        <v>0</v>
      </c>
      <c r="AB323" s="77"/>
      <c r="AC323" s="77">
        <v>0</v>
      </c>
      <c r="AD323" s="77"/>
      <c r="AE323" s="77">
        <v>0</v>
      </c>
      <c r="AF323" s="77"/>
      <c r="AG323" s="77">
        <v>0</v>
      </c>
      <c r="AH323" s="77"/>
      <c r="AI323" s="77">
        <f t="shared" si="12"/>
        <v>25028.66</v>
      </c>
      <c r="AJ323" s="24"/>
      <c r="AK323" s="15" t="str">
        <f>'Gen Rev'!A323</f>
        <v>Kirby</v>
      </c>
      <c r="AL323" s="15" t="str">
        <f t="shared" si="13"/>
        <v>Kirby</v>
      </c>
      <c r="AM323" s="15" t="b">
        <f t="shared" si="14"/>
        <v>1</v>
      </c>
      <c r="AN323" s="32"/>
      <c r="AO323" s="32"/>
      <c r="AP323" s="32"/>
    </row>
    <row r="324" spans="1:42" ht="12" customHeight="1" x14ac:dyDescent="0.2">
      <c r="A324" s="1" t="s">
        <v>696</v>
      </c>
      <c r="B324" s="1"/>
      <c r="C324" s="1" t="s">
        <v>439</v>
      </c>
      <c r="E324" s="77">
        <v>41848.720000000001</v>
      </c>
      <c r="F324" s="77"/>
      <c r="G324" s="77">
        <v>0</v>
      </c>
      <c r="H324" s="77"/>
      <c r="I324" s="77">
        <v>52036.05</v>
      </c>
      <c r="J324" s="77"/>
      <c r="K324" s="77">
        <v>0</v>
      </c>
      <c r="L324" s="77"/>
      <c r="M324" s="77">
        <v>0</v>
      </c>
      <c r="N324" s="77"/>
      <c r="O324" s="77">
        <v>111399.74</v>
      </c>
      <c r="P324" s="77"/>
      <c r="Q324" s="77">
        <v>133.33000000000001</v>
      </c>
      <c r="R324" s="77"/>
      <c r="S324" s="77">
        <v>4837.16</v>
      </c>
      <c r="T324" s="77"/>
      <c r="U324" s="77">
        <v>0</v>
      </c>
      <c r="V324" s="77"/>
      <c r="W324" s="77">
        <v>0</v>
      </c>
      <c r="X324" s="77"/>
      <c r="Y324" s="77">
        <v>0</v>
      </c>
      <c r="Z324" s="77"/>
      <c r="AA324" s="77">
        <v>0</v>
      </c>
      <c r="AB324" s="77"/>
      <c r="AC324" s="77">
        <v>0</v>
      </c>
      <c r="AD324" s="77"/>
      <c r="AE324" s="77">
        <v>0</v>
      </c>
      <c r="AF324" s="77"/>
      <c r="AG324" s="77">
        <v>0</v>
      </c>
      <c r="AH324" s="77"/>
      <c r="AI324" s="77">
        <f t="shared" si="12"/>
        <v>210255</v>
      </c>
      <c r="AJ324" s="24"/>
      <c r="AK324" s="15" t="str">
        <f>'Gen Rev'!A324</f>
        <v>Kirkersville</v>
      </c>
      <c r="AL324" s="15" t="str">
        <f t="shared" si="13"/>
        <v>Kirkersville</v>
      </c>
      <c r="AM324" s="15" t="b">
        <f t="shared" si="14"/>
        <v>1</v>
      </c>
    </row>
    <row r="325" spans="1:42" s="31" customFormat="1" ht="12" customHeight="1" x14ac:dyDescent="0.2">
      <c r="A325" s="15" t="s">
        <v>904</v>
      </c>
      <c r="B325" s="15"/>
      <c r="C325" s="15" t="s">
        <v>430</v>
      </c>
      <c r="D325" s="15"/>
      <c r="E325" s="77">
        <v>1446627</v>
      </c>
      <c r="F325" s="77"/>
      <c r="G325" s="77">
        <v>0</v>
      </c>
      <c r="H325" s="77"/>
      <c r="I325" s="77">
        <v>680527</v>
      </c>
      <c r="J325" s="77"/>
      <c r="K325" s="77">
        <v>0</v>
      </c>
      <c r="L325" s="77"/>
      <c r="M325" s="77">
        <v>8068</v>
      </c>
      <c r="N325" s="77"/>
      <c r="O325" s="77">
        <v>119296</v>
      </c>
      <c r="P325" s="77"/>
      <c r="Q325" s="77">
        <v>865534</v>
      </c>
      <c r="R325" s="77"/>
      <c r="S325" s="77">
        <v>31517</v>
      </c>
      <c r="T325" s="77"/>
      <c r="U325" s="77">
        <v>0</v>
      </c>
      <c r="V325" s="77"/>
      <c r="W325" s="77">
        <v>0</v>
      </c>
      <c r="X325" s="77"/>
      <c r="Y325" s="77">
        <v>0</v>
      </c>
      <c r="Z325" s="77"/>
      <c r="AA325" s="77">
        <v>1138076</v>
      </c>
      <c r="AB325" s="77"/>
      <c r="AC325" s="77">
        <v>0</v>
      </c>
      <c r="AD325" s="77"/>
      <c r="AE325" s="77">
        <v>0</v>
      </c>
      <c r="AF325" s="77"/>
      <c r="AG325" s="77">
        <v>0</v>
      </c>
      <c r="AH325" s="77"/>
      <c r="AI325" s="77">
        <f t="shared" si="12"/>
        <v>4289645</v>
      </c>
      <c r="AJ325" s="24"/>
      <c r="AK325" s="15" t="str">
        <f>'Gen Rev'!A325</f>
        <v>Kirtland Hills</v>
      </c>
      <c r="AL325" s="15" t="str">
        <f t="shared" si="13"/>
        <v>Kirtland Hills</v>
      </c>
      <c r="AM325" s="15" t="b">
        <f t="shared" si="14"/>
        <v>1</v>
      </c>
    </row>
    <row r="326" spans="1:42" s="31" customFormat="1" ht="12" customHeight="1" x14ac:dyDescent="0.2">
      <c r="A326" s="1" t="s">
        <v>967</v>
      </c>
      <c r="B326" s="1"/>
      <c r="C326" s="1" t="s">
        <v>463</v>
      </c>
      <c r="D326" s="15"/>
      <c r="E326" s="77">
        <v>92839.48</v>
      </c>
      <c r="F326" s="77"/>
      <c r="G326" s="77">
        <v>0</v>
      </c>
      <c r="H326" s="77"/>
      <c r="I326" s="77">
        <v>666589.17000000004</v>
      </c>
      <c r="J326" s="77"/>
      <c r="K326" s="77">
        <v>0</v>
      </c>
      <c r="L326" s="77"/>
      <c r="M326" s="77">
        <v>17327.599999999999</v>
      </c>
      <c r="N326" s="77"/>
      <c r="O326" s="77">
        <v>5832.49</v>
      </c>
      <c r="P326" s="77"/>
      <c r="Q326" s="77">
        <v>353.35</v>
      </c>
      <c r="R326" s="77"/>
      <c r="S326" s="77">
        <v>11743.36</v>
      </c>
      <c r="T326" s="77"/>
      <c r="U326" s="77">
        <v>0</v>
      </c>
      <c r="V326" s="77"/>
      <c r="W326" s="77">
        <v>1485706.14</v>
      </c>
      <c r="X326" s="77"/>
      <c r="Y326" s="77">
        <v>0</v>
      </c>
      <c r="Z326" s="77"/>
      <c r="AA326" s="77">
        <v>0</v>
      </c>
      <c r="AB326" s="77"/>
      <c r="AC326" s="77">
        <v>0</v>
      </c>
      <c r="AD326" s="77"/>
      <c r="AE326" s="77">
        <v>0</v>
      </c>
      <c r="AF326" s="77"/>
      <c r="AG326" s="77">
        <v>0</v>
      </c>
      <c r="AH326" s="77"/>
      <c r="AI326" s="77">
        <f t="shared" si="12"/>
        <v>2280391.59</v>
      </c>
      <c r="AJ326" s="24"/>
      <c r="AK326" s="15" t="str">
        <f>'Gen Rev'!A326</f>
        <v>La Rue</v>
      </c>
      <c r="AL326" s="15" t="str">
        <f t="shared" si="13"/>
        <v>La Rue</v>
      </c>
      <c r="AM326" s="15" t="b">
        <f t="shared" si="14"/>
        <v>1</v>
      </c>
    </row>
    <row r="327" spans="1:42" ht="12" customHeight="1" x14ac:dyDescent="0.2">
      <c r="A327" s="1" t="s">
        <v>5</v>
      </c>
      <c r="B327" s="1"/>
      <c r="C327" s="1" t="s">
        <v>737</v>
      </c>
      <c r="D327" s="24"/>
      <c r="E327" s="77">
        <v>40508.199999999997</v>
      </c>
      <c r="F327" s="77"/>
      <c r="G327" s="77">
        <v>0</v>
      </c>
      <c r="H327" s="77"/>
      <c r="I327" s="77">
        <v>23106.57</v>
      </c>
      <c r="J327" s="77"/>
      <c r="K327" s="77">
        <v>0</v>
      </c>
      <c r="L327" s="77"/>
      <c r="M327" s="77">
        <v>0</v>
      </c>
      <c r="N327" s="77"/>
      <c r="O327" s="77">
        <v>0</v>
      </c>
      <c r="P327" s="77"/>
      <c r="Q327" s="77">
        <v>18.37</v>
      </c>
      <c r="R327" s="77"/>
      <c r="S327" s="77">
        <v>192.07</v>
      </c>
      <c r="T327" s="77"/>
      <c r="U327" s="77">
        <v>0</v>
      </c>
      <c r="V327" s="77"/>
      <c r="W327" s="77">
        <v>0</v>
      </c>
      <c r="X327" s="77"/>
      <c r="Y327" s="77">
        <v>0</v>
      </c>
      <c r="Z327" s="77"/>
      <c r="AA327" s="77">
        <v>6485.58</v>
      </c>
      <c r="AB327" s="77"/>
      <c r="AC327" s="77">
        <v>0</v>
      </c>
      <c r="AD327" s="77"/>
      <c r="AE327" s="77">
        <v>0</v>
      </c>
      <c r="AF327" s="77"/>
      <c r="AG327" s="77">
        <v>0</v>
      </c>
      <c r="AH327" s="77"/>
      <c r="AI327" s="77">
        <f t="shared" si="12"/>
        <v>70310.789999999994</v>
      </c>
      <c r="AJ327" s="24"/>
      <c r="AK327" s="15" t="str">
        <f>'Gen Rev'!A327</f>
        <v>Lafayette</v>
      </c>
      <c r="AL327" s="15" t="str">
        <f t="shared" si="13"/>
        <v>Lafayette</v>
      </c>
      <c r="AM327" s="15" t="b">
        <f t="shared" si="14"/>
        <v>1</v>
      </c>
      <c r="AN327" s="29"/>
      <c r="AO327" s="29"/>
      <c r="AP327" s="29"/>
    </row>
    <row r="328" spans="1:42" s="31" customFormat="1" ht="12" customHeight="1" x14ac:dyDescent="0.2">
      <c r="A328" s="1" t="s">
        <v>137</v>
      </c>
      <c r="B328" s="1"/>
      <c r="C328" s="1" t="s">
        <v>776</v>
      </c>
      <c r="D328" s="15"/>
      <c r="E328" s="77">
        <v>253799.32</v>
      </c>
      <c r="F328" s="77"/>
      <c r="G328" s="77">
        <v>859158.63</v>
      </c>
      <c r="H328" s="77"/>
      <c r="I328" s="77">
        <v>200040.18</v>
      </c>
      <c r="J328" s="77"/>
      <c r="K328" s="77">
        <v>0</v>
      </c>
      <c r="L328" s="77"/>
      <c r="M328" s="77">
        <v>157116.04</v>
      </c>
      <c r="N328" s="77"/>
      <c r="O328" s="77">
        <v>52148.639999999999</v>
      </c>
      <c r="P328" s="77"/>
      <c r="Q328" s="77">
        <v>3870.18</v>
      </c>
      <c r="R328" s="77"/>
      <c r="S328" s="77">
        <v>2670.27</v>
      </c>
      <c r="T328" s="77"/>
      <c r="U328" s="77">
        <v>0</v>
      </c>
      <c r="V328" s="77"/>
      <c r="W328" s="77">
        <v>0</v>
      </c>
      <c r="X328" s="77"/>
      <c r="Y328" s="77">
        <v>0</v>
      </c>
      <c r="Z328" s="77"/>
      <c r="AA328" s="77">
        <v>41305.040000000001</v>
      </c>
      <c r="AB328" s="77"/>
      <c r="AC328" s="77">
        <v>0</v>
      </c>
      <c r="AD328" s="77"/>
      <c r="AE328" s="77">
        <v>0</v>
      </c>
      <c r="AF328" s="77"/>
      <c r="AG328" s="77">
        <v>0</v>
      </c>
      <c r="AH328" s="77"/>
      <c r="AI328" s="77">
        <f t="shared" si="12"/>
        <v>1570108.2999999998</v>
      </c>
      <c r="AJ328" s="24"/>
      <c r="AK328" s="15" t="str">
        <f>'Gen Rev'!A328</f>
        <v>Lagrange</v>
      </c>
      <c r="AL328" s="15" t="str">
        <f t="shared" si="13"/>
        <v>Lagrange</v>
      </c>
      <c r="AM328" s="15" t="b">
        <f t="shared" si="14"/>
        <v>1</v>
      </c>
      <c r="AN328" s="32"/>
      <c r="AO328" s="32"/>
      <c r="AP328" s="32"/>
    </row>
    <row r="329" spans="1:42" s="24" customFormat="1" ht="12" customHeight="1" x14ac:dyDescent="0.2">
      <c r="A329" s="1" t="s">
        <v>698</v>
      </c>
      <c r="B329" s="1"/>
      <c r="C329" s="1" t="s">
        <v>430</v>
      </c>
      <c r="D329" s="15"/>
      <c r="E329" s="77">
        <v>44610.26</v>
      </c>
      <c r="F329" s="77"/>
      <c r="G329" s="77">
        <v>7473.28</v>
      </c>
      <c r="H329" s="77"/>
      <c r="I329" s="77">
        <v>40639.64</v>
      </c>
      <c r="J329" s="77"/>
      <c r="K329" s="77">
        <v>10945.57</v>
      </c>
      <c r="L329" s="77"/>
      <c r="M329" s="77">
        <v>0</v>
      </c>
      <c r="N329" s="77"/>
      <c r="O329" s="77">
        <v>3554.82</v>
      </c>
      <c r="P329" s="77"/>
      <c r="Q329" s="77">
        <v>154.78</v>
      </c>
      <c r="R329" s="77"/>
      <c r="S329" s="77">
        <v>1764.83</v>
      </c>
      <c r="T329" s="77"/>
      <c r="U329" s="77">
        <v>0</v>
      </c>
      <c r="V329" s="77"/>
      <c r="W329" s="77">
        <v>0</v>
      </c>
      <c r="X329" s="77"/>
      <c r="Y329" s="77">
        <v>0</v>
      </c>
      <c r="Z329" s="77"/>
      <c r="AA329" s="77">
        <v>0</v>
      </c>
      <c r="AB329" s="77"/>
      <c r="AC329" s="77">
        <v>0</v>
      </c>
      <c r="AD329" s="77"/>
      <c r="AE329" s="77">
        <v>0</v>
      </c>
      <c r="AF329" s="77"/>
      <c r="AG329" s="77">
        <v>0</v>
      </c>
      <c r="AH329" s="77"/>
      <c r="AI329" s="77">
        <f t="shared" si="12"/>
        <v>109143.18000000001</v>
      </c>
      <c r="AK329" s="15" t="str">
        <f>'Gen Rev'!A329</f>
        <v>Lakeline</v>
      </c>
      <c r="AL329" s="15" t="str">
        <f t="shared" si="13"/>
        <v>Lakeline</v>
      </c>
      <c r="AM329" s="15" t="b">
        <f t="shared" si="14"/>
        <v>1</v>
      </c>
      <c r="AN329" s="31"/>
      <c r="AO329" s="31"/>
      <c r="AP329" s="31"/>
    </row>
    <row r="330" spans="1:42" ht="12" customHeight="1" x14ac:dyDescent="0.2">
      <c r="A330" s="15" t="s">
        <v>817</v>
      </c>
      <c r="C330" s="15" t="s">
        <v>549</v>
      </c>
      <c r="E330" s="77">
        <v>226152.31</v>
      </c>
      <c r="F330" s="77"/>
      <c r="G330" s="77">
        <v>740478.44</v>
      </c>
      <c r="H330" s="77"/>
      <c r="I330" s="77">
        <v>317990.12</v>
      </c>
      <c r="J330" s="77"/>
      <c r="K330" s="77">
        <v>0</v>
      </c>
      <c r="L330" s="77"/>
      <c r="M330" s="77">
        <v>131290.19</v>
      </c>
      <c r="N330" s="77"/>
      <c r="O330" s="77">
        <v>77595.960000000006</v>
      </c>
      <c r="P330" s="77"/>
      <c r="Q330" s="77">
        <v>0</v>
      </c>
      <c r="R330" s="77"/>
      <c r="S330" s="77">
        <v>31815.48</v>
      </c>
      <c r="T330" s="77"/>
      <c r="U330" s="77">
        <v>0</v>
      </c>
      <c r="V330" s="77"/>
      <c r="W330" s="77">
        <v>0</v>
      </c>
      <c r="X330" s="77"/>
      <c r="Y330" s="77">
        <v>0</v>
      </c>
      <c r="Z330" s="77"/>
      <c r="AA330" s="77">
        <v>2435.0700000000002</v>
      </c>
      <c r="AB330" s="77"/>
      <c r="AC330" s="77">
        <v>0</v>
      </c>
      <c r="AD330" s="77"/>
      <c r="AE330" s="77">
        <v>0</v>
      </c>
      <c r="AF330" s="77"/>
      <c r="AG330" s="77">
        <v>4500</v>
      </c>
      <c r="AH330" s="77"/>
      <c r="AI330" s="77">
        <f t="shared" si="12"/>
        <v>1532257.57</v>
      </c>
      <c r="AJ330" s="24"/>
      <c r="AK330" s="15" t="str">
        <f>'Gen Rev'!A330</f>
        <v>Lakemore</v>
      </c>
      <c r="AL330" s="15" t="str">
        <f t="shared" si="13"/>
        <v>Lakemore</v>
      </c>
      <c r="AM330" s="15" t="b">
        <f t="shared" si="14"/>
        <v>1</v>
      </c>
      <c r="AN330" s="30"/>
      <c r="AO330" s="30"/>
      <c r="AP330" s="30"/>
    </row>
    <row r="331" spans="1:42" ht="12" customHeight="1" x14ac:dyDescent="0.2">
      <c r="A331" s="1" t="s">
        <v>697</v>
      </c>
      <c r="B331" s="1"/>
      <c r="C331" s="1" t="s">
        <v>446</v>
      </c>
      <c r="E331" s="77">
        <v>42884.25</v>
      </c>
      <c r="F331" s="77"/>
      <c r="G331" s="77">
        <v>173924.1</v>
      </c>
      <c r="H331" s="77"/>
      <c r="I331" s="77">
        <v>89843.13</v>
      </c>
      <c r="J331" s="77"/>
      <c r="K331" s="77">
        <v>0</v>
      </c>
      <c r="L331" s="77"/>
      <c r="M331" s="77">
        <v>162997.34</v>
      </c>
      <c r="N331" s="77"/>
      <c r="O331" s="77">
        <v>6873.73</v>
      </c>
      <c r="P331" s="77"/>
      <c r="Q331" s="77">
        <v>7786.5</v>
      </c>
      <c r="R331" s="77"/>
      <c r="S331" s="77">
        <v>5250.26</v>
      </c>
      <c r="T331" s="77"/>
      <c r="U331" s="77">
        <v>0</v>
      </c>
      <c r="V331" s="77"/>
      <c r="W331" s="77">
        <v>0</v>
      </c>
      <c r="X331" s="77"/>
      <c r="Y331" s="77">
        <v>0</v>
      </c>
      <c r="Z331" s="77"/>
      <c r="AA331" s="77">
        <v>0</v>
      </c>
      <c r="AB331" s="77"/>
      <c r="AC331" s="77">
        <v>0</v>
      </c>
      <c r="AD331" s="77"/>
      <c r="AE331" s="77">
        <v>0</v>
      </c>
      <c r="AF331" s="77"/>
      <c r="AG331" s="77">
        <v>0</v>
      </c>
      <c r="AH331" s="77"/>
      <c r="AI331" s="77">
        <f t="shared" si="12"/>
        <v>489559.30999999994</v>
      </c>
      <c r="AJ331" s="24"/>
      <c r="AK331" s="15" t="str">
        <f>'Gen Rev'!A331</f>
        <v>Lakeview</v>
      </c>
      <c r="AL331" s="15" t="str">
        <f t="shared" si="13"/>
        <v>Lakeview</v>
      </c>
      <c r="AM331" s="15" t="b">
        <f t="shared" si="14"/>
        <v>1</v>
      </c>
    </row>
    <row r="332" spans="1:42" ht="12" customHeight="1" x14ac:dyDescent="0.2">
      <c r="A332" s="1" t="s">
        <v>184</v>
      </c>
      <c r="B332" s="1"/>
      <c r="C332" s="1" t="s">
        <v>792</v>
      </c>
      <c r="E332" s="77">
        <v>12300.41</v>
      </c>
      <c r="F332" s="77"/>
      <c r="G332" s="77">
        <v>0</v>
      </c>
      <c r="H332" s="77"/>
      <c r="I332" s="77">
        <v>38601.910000000003</v>
      </c>
      <c r="J332" s="77"/>
      <c r="K332" s="77">
        <v>0</v>
      </c>
      <c r="L332" s="77"/>
      <c r="M332" s="77">
        <v>0</v>
      </c>
      <c r="N332" s="77"/>
      <c r="O332" s="77">
        <v>0</v>
      </c>
      <c r="P332" s="77"/>
      <c r="Q332" s="77">
        <v>46.7</v>
      </c>
      <c r="R332" s="77"/>
      <c r="S332" s="77">
        <v>10059.709999999999</v>
      </c>
      <c r="T332" s="77"/>
      <c r="U332" s="77">
        <v>0</v>
      </c>
      <c r="V332" s="77"/>
      <c r="W332" s="77">
        <v>0</v>
      </c>
      <c r="X332" s="77"/>
      <c r="Y332" s="77">
        <v>0</v>
      </c>
      <c r="Z332" s="77"/>
      <c r="AA332" s="77">
        <v>3000</v>
      </c>
      <c r="AB332" s="77"/>
      <c r="AC332" s="77">
        <v>0</v>
      </c>
      <c r="AD332" s="77"/>
      <c r="AE332" s="77">
        <v>0</v>
      </c>
      <c r="AF332" s="77"/>
      <c r="AG332" s="77">
        <v>0</v>
      </c>
      <c r="AH332" s="77"/>
      <c r="AI332" s="77">
        <f t="shared" si="12"/>
        <v>64008.73</v>
      </c>
      <c r="AJ332" s="24"/>
      <c r="AK332" s="15" t="str">
        <f>'Gen Rev'!A332</f>
        <v>Latty</v>
      </c>
      <c r="AL332" s="15" t="str">
        <f t="shared" si="13"/>
        <v>Latty</v>
      </c>
      <c r="AM332" s="15" t="b">
        <f t="shared" si="14"/>
        <v>1</v>
      </c>
      <c r="AN332" s="30"/>
      <c r="AO332" s="30"/>
      <c r="AP332" s="30"/>
    </row>
    <row r="333" spans="1:42" s="31" customFormat="1" ht="12" customHeight="1" x14ac:dyDescent="0.2">
      <c r="A333" s="1" t="s">
        <v>162</v>
      </c>
      <c r="B333" s="1"/>
      <c r="C333" s="1" t="s">
        <v>784</v>
      </c>
      <c r="D333" s="15"/>
      <c r="E333" s="77">
        <v>16021.64</v>
      </c>
      <c r="F333" s="77"/>
      <c r="G333" s="77">
        <v>0</v>
      </c>
      <c r="H333" s="77"/>
      <c r="I333" s="77">
        <v>46600.09</v>
      </c>
      <c r="J333" s="77"/>
      <c r="K333" s="77">
        <v>7106.44</v>
      </c>
      <c r="L333" s="77"/>
      <c r="M333" s="77">
        <v>0</v>
      </c>
      <c r="N333" s="77"/>
      <c r="O333" s="77">
        <v>2001.63</v>
      </c>
      <c r="P333" s="77"/>
      <c r="Q333" s="77">
        <v>0</v>
      </c>
      <c r="R333" s="77"/>
      <c r="S333" s="77">
        <v>50</v>
      </c>
      <c r="T333" s="77"/>
      <c r="U333" s="77">
        <v>0</v>
      </c>
      <c r="V333" s="77"/>
      <c r="W333" s="77">
        <v>0</v>
      </c>
      <c r="X333" s="77"/>
      <c r="Y333" s="77">
        <v>0</v>
      </c>
      <c r="Z333" s="77"/>
      <c r="AA333" s="77">
        <v>0</v>
      </c>
      <c r="AB333" s="77"/>
      <c r="AC333" s="77">
        <v>41.56</v>
      </c>
      <c r="AD333" s="77"/>
      <c r="AE333" s="77">
        <v>0</v>
      </c>
      <c r="AF333" s="77"/>
      <c r="AG333" s="77">
        <v>0</v>
      </c>
      <c r="AH333" s="77"/>
      <c r="AI333" s="77">
        <f t="shared" si="12"/>
        <v>71821.36</v>
      </c>
      <c r="AJ333" s="24"/>
      <c r="AK333" s="15" t="str">
        <f>'Gen Rev'!A333</f>
        <v>Laura</v>
      </c>
      <c r="AL333" s="15" t="str">
        <f t="shared" si="13"/>
        <v>Laura</v>
      </c>
      <c r="AM333" s="15" t="b">
        <f t="shared" si="14"/>
        <v>1</v>
      </c>
      <c r="AN333" s="15"/>
      <c r="AO333" s="15"/>
      <c r="AP333" s="15"/>
    </row>
    <row r="334" spans="1:42" ht="12" customHeight="1" x14ac:dyDescent="0.2">
      <c r="A334" s="1" t="s">
        <v>111</v>
      </c>
      <c r="B334" s="1"/>
      <c r="C334" s="1" t="s">
        <v>768</v>
      </c>
      <c r="E334" s="77">
        <v>53226.7</v>
      </c>
      <c r="F334" s="77"/>
      <c r="G334" s="77">
        <v>0</v>
      </c>
      <c r="H334" s="77"/>
      <c r="I334" s="77">
        <v>34891.339999999997</v>
      </c>
      <c r="J334" s="77"/>
      <c r="K334" s="77">
        <v>0</v>
      </c>
      <c r="L334" s="77"/>
      <c r="M334" s="77">
        <v>204893.09</v>
      </c>
      <c r="N334" s="77"/>
      <c r="O334" s="77">
        <v>14893</v>
      </c>
      <c r="P334" s="77"/>
      <c r="Q334" s="77">
        <v>1177.47</v>
      </c>
      <c r="R334" s="77"/>
      <c r="S334" s="77">
        <v>22299.42</v>
      </c>
      <c r="T334" s="77"/>
      <c r="U334" s="77">
        <v>0</v>
      </c>
      <c r="V334" s="77"/>
      <c r="W334" s="77">
        <v>0</v>
      </c>
      <c r="X334" s="77"/>
      <c r="Y334" s="77">
        <v>0</v>
      </c>
      <c r="Z334" s="77"/>
      <c r="AA334" s="77">
        <v>0</v>
      </c>
      <c r="AB334" s="77"/>
      <c r="AC334" s="77">
        <v>0</v>
      </c>
      <c r="AD334" s="77"/>
      <c r="AE334" s="77">
        <v>0</v>
      </c>
      <c r="AF334" s="77"/>
      <c r="AG334" s="77">
        <v>0</v>
      </c>
      <c r="AH334" s="77"/>
      <c r="AI334" s="77">
        <f t="shared" si="12"/>
        <v>331381.01999999996</v>
      </c>
      <c r="AJ334" s="24"/>
      <c r="AK334" s="15" t="str">
        <f>'Gen Rev'!A334</f>
        <v>Laurelville</v>
      </c>
      <c r="AL334" s="15" t="str">
        <f t="shared" si="13"/>
        <v>Laurelville</v>
      </c>
      <c r="AM334" s="15" t="b">
        <f t="shared" si="14"/>
        <v>1</v>
      </c>
      <c r="AN334" s="31"/>
      <c r="AO334" s="31"/>
      <c r="AP334" s="31"/>
    </row>
    <row r="335" spans="1:42" ht="12" customHeight="1" x14ac:dyDescent="0.2">
      <c r="A335" s="1" t="s">
        <v>926</v>
      </c>
      <c r="B335" s="1"/>
      <c r="C335" s="1" t="s">
        <v>767</v>
      </c>
      <c r="E335" s="77">
        <v>30436.65</v>
      </c>
      <c r="F335" s="77"/>
      <c r="G335" s="77">
        <v>369188.05</v>
      </c>
      <c r="H335" s="77"/>
      <c r="I335" s="77">
        <v>97525.84</v>
      </c>
      <c r="J335" s="77"/>
      <c r="K335" s="77">
        <v>68.25</v>
      </c>
      <c r="L335" s="77"/>
      <c r="M335" s="77">
        <v>218</v>
      </c>
      <c r="N335" s="77"/>
      <c r="O335" s="77">
        <v>2738.5</v>
      </c>
      <c r="P335" s="77"/>
      <c r="Q335" s="77">
        <v>3500.98</v>
      </c>
      <c r="R335" s="77"/>
      <c r="S335" s="77">
        <v>13894.63</v>
      </c>
      <c r="T335" s="77"/>
      <c r="U335" s="77">
        <v>0</v>
      </c>
      <c r="V335" s="77"/>
      <c r="W335" s="77">
        <v>0</v>
      </c>
      <c r="X335" s="77"/>
      <c r="Y335" s="77">
        <v>0</v>
      </c>
      <c r="Z335" s="77"/>
      <c r="AA335" s="77">
        <v>0</v>
      </c>
      <c r="AB335" s="77"/>
      <c r="AC335" s="77">
        <v>0</v>
      </c>
      <c r="AD335" s="77"/>
      <c r="AE335" s="77">
        <v>0</v>
      </c>
      <c r="AF335" s="77"/>
      <c r="AG335" s="77">
        <v>0</v>
      </c>
      <c r="AH335" s="77"/>
      <c r="AI335" s="77">
        <f t="shared" si="12"/>
        <v>517570.9</v>
      </c>
      <c r="AJ335" s="24"/>
      <c r="AK335" s="15" t="str">
        <f>'Gen Rev'!A335</f>
        <v>Leesburg</v>
      </c>
      <c r="AL335" s="15" t="str">
        <f t="shared" si="13"/>
        <v>Leesburg</v>
      </c>
      <c r="AM335" s="15" t="b">
        <f t="shared" si="14"/>
        <v>1</v>
      </c>
      <c r="AN335" s="31"/>
      <c r="AO335" s="31"/>
      <c r="AP335" s="31"/>
    </row>
    <row r="336" spans="1:42" ht="12" customHeight="1" x14ac:dyDescent="0.2">
      <c r="A336" s="1" t="s">
        <v>29</v>
      </c>
      <c r="B336" s="1"/>
      <c r="C336" s="1" t="s">
        <v>744</v>
      </c>
      <c r="D336" s="37"/>
      <c r="E336" s="77">
        <v>13920.23</v>
      </c>
      <c r="F336" s="77"/>
      <c r="G336" s="77">
        <v>0</v>
      </c>
      <c r="H336" s="77"/>
      <c r="I336" s="77">
        <v>23940</v>
      </c>
      <c r="J336" s="77"/>
      <c r="K336" s="77">
        <v>0</v>
      </c>
      <c r="L336" s="77"/>
      <c r="M336" s="77">
        <v>0</v>
      </c>
      <c r="N336" s="77"/>
      <c r="O336" s="77">
        <v>0</v>
      </c>
      <c r="P336" s="77"/>
      <c r="Q336" s="77">
        <v>99.51</v>
      </c>
      <c r="R336" s="77"/>
      <c r="S336" s="77">
        <v>0</v>
      </c>
      <c r="T336" s="77"/>
      <c r="U336" s="77">
        <v>0</v>
      </c>
      <c r="V336" s="77"/>
      <c r="W336" s="77">
        <v>0</v>
      </c>
      <c r="X336" s="77"/>
      <c r="Y336" s="77">
        <v>0</v>
      </c>
      <c r="Z336" s="77"/>
      <c r="AA336" s="77">
        <v>0</v>
      </c>
      <c r="AB336" s="77"/>
      <c r="AC336" s="77">
        <v>0</v>
      </c>
      <c r="AD336" s="77"/>
      <c r="AE336" s="77">
        <v>0</v>
      </c>
      <c r="AF336" s="77"/>
      <c r="AG336" s="77">
        <v>0</v>
      </c>
      <c r="AH336" s="77"/>
      <c r="AI336" s="77">
        <f t="shared" si="12"/>
        <v>37959.74</v>
      </c>
      <c r="AJ336" s="37"/>
      <c r="AK336" s="15" t="str">
        <f>'Gen Rev'!A336</f>
        <v>Leesville</v>
      </c>
      <c r="AL336" s="15" t="str">
        <f t="shared" si="13"/>
        <v>Leesville</v>
      </c>
      <c r="AM336" s="15" t="b">
        <f t="shared" si="14"/>
        <v>1</v>
      </c>
      <c r="AN336" s="40"/>
      <c r="AO336" s="40"/>
      <c r="AP336" s="40"/>
    </row>
    <row r="337" spans="1:42" ht="12" customHeight="1" x14ac:dyDescent="0.2">
      <c r="A337" s="1" t="s">
        <v>43</v>
      </c>
      <c r="B337" s="1"/>
      <c r="C337" s="1" t="s">
        <v>749</v>
      </c>
      <c r="E337" s="77">
        <v>80409.820000000007</v>
      </c>
      <c r="F337" s="77"/>
      <c r="G337" s="77">
        <v>530473.09</v>
      </c>
      <c r="H337" s="77"/>
      <c r="I337" s="77">
        <v>149041.79</v>
      </c>
      <c r="J337" s="77"/>
      <c r="K337" s="77">
        <v>0</v>
      </c>
      <c r="L337" s="77"/>
      <c r="M337" s="77">
        <v>164840.98000000001</v>
      </c>
      <c r="N337" s="77"/>
      <c r="O337" s="77">
        <v>35408.550000000003</v>
      </c>
      <c r="P337" s="77"/>
      <c r="Q337" s="77">
        <v>824.53</v>
      </c>
      <c r="R337" s="77"/>
      <c r="S337" s="77">
        <v>280688.07</v>
      </c>
      <c r="T337" s="77"/>
      <c r="U337" s="77">
        <v>0</v>
      </c>
      <c r="V337" s="77"/>
      <c r="W337" s="77">
        <v>0</v>
      </c>
      <c r="X337" s="77"/>
      <c r="Y337" s="77">
        <v>0</v>
      </c>
      <c r="Z337" s="77"/>
      <c r="AA337" s="77">
        <v>545702.79</v>
      </c>
      <c r="AB337" s="77"/>
      <c r="AC337" s="77">
        <v>18322.45</v>
      </c>
      <c r="AD337" s="77"/>
      <c r="AE337" s="77">
        <v>204.63</v>
      </c>
      <c r="AF337" s="77"/>
      <c r="AG337" s="77">
        <v>0</v>
      </c>
      <c r="AH337" s="77"/>
      <c r="AI337" s="77">
        <f t="shared" si="12"/>
        <v>1805916.7</v>
      </c>
      <c r="AJ337" s="24"/>
      <c r="AK337" s="15" t="str">
        <f>'Gen Rev'!A337</f>
        <v>Leetonia</v>
      </c>
      <c r="AL337" s="15" t="str">
        <f t="shared" si="13"/>
        <v>Leetonia</v>
      </c>
      <c r="AM337" s="15" t="b">
        <f t="shared" si="14"/>
        <v>1</v>
      </c>
      <c r="AN337" s="31"/>
      <c r="AO337" s="31"/>
      <c r="AP337" s="31"/>
    </row>
    <row r="338" spans="1:42" ht="12" customHeight="1" x14ac:dyDescent="0.2">
      <c r="A338" s="15" t="s">
        <v>890</v>
      </c>
      <c r="C338" s="15" t="s">
        <v>513</v>
      </c>
      <c r="E338" s="77">
        <v>2698675</v>
      </c>
      <c r="F338" s="77"/>
      <c r="G338" s="77">
        <v>0</v>
      </c>
      <c r="H338" s="77"/>
      <c r="I338" s="77">
        <v>0</v>
      </c>
      <c r="J338" s="77"/>
      <c r="K338" s="77">
        <v>1722405</v>
      </c>
      <c r="L338" s="77"/>
      <c r="M338" s="77">
        <v>72146</v>
      </c>
      <c r="N338" s="77"/>
      <c r="O338" s="77">
        <v>13024</v>
      </c>
      <c r="P338" s="77"/>
      <c r="Q338" s="77">
        <v>0</v>
      </c>
      <c r="R338" s="77"/>
      <c r="S338" s="77">
        <v>77084</v>
      </c>
      <c r="T338" s="77"/>
      <c r="U338" s="77">
        <v>0</v>
      </c>
      <c r="V338" s="77"/>
      <c r="W338" s="77">
        <v>275000</v>
      </c>
      <c r="X338" s="77"/>
      <c r="Y338" s="77">
        <v>0</v>
      </c>
      <c r="Z338" s="77"/>
      <c r="AA338" s="77">
        <v>1693990</v>
      </c>
      <c r="AB338" s="77"/>
      <c r="AC338" s="77">
        <v>0</v>
      </c>
      <c r="AD338" s="77"/>
      <c r="AE338" s="77">
        <v>4100</v>
      </c>
      <c r="AF338" s="77"/>
      <c r="AG338" s="77">
        <v>0</v>
      </c>
      <c r="AH338" s="77"/>
      <c r="AI338" s="77">
        <f t="shared" si="12"/>
        <v>6556424</v>
      </c>
      <c r="AJ338" s="24"/>
      <c r="AK338" s="15" t="str">
        <f>'Gen Rev'!A338</f>
        <v>Leipsic</v>
      </c>
      <c r="AL338" s="15" t="str">
        <f t="shared" si="13"/>
        <v>Leipsic</v>
      </c>
      <c r="AM338" s="15" t="b">
        <f t="shared" si="14"/>
        <v>1</v>
      </c>
    </row>
    <row r="339" spans="1:42" ht="12" customHeight="1" x14ac:dyDescent="0.2">
      <c r="A339" s="24" t="s">
        <v>508</v>
      </c>
      <c r="B339" s="24"/>
      <c r="C339" s="24" t="s">
        <v>509</v>
      </c>
      <c r="D339" s="24"/>
      <c r="E339" s="77">
        <v>220894</v>
      </c>
      <c r="F339" s="77"/>
      <c r="G339" s="77">
        <v>757403</v>
      </c>
      <c r="H339" s="77"/>
      <c r="I339" s="77">
        <v>264598</v>
      </c>
      <c r="J339" s="77"/>
      <c r="K339" s="77">
        <v>0</v>
      </c>
      <c r="L339" s="77"/>
      <c r="M339" s="77">
        <v>274778</v>
      </c>
      <c r="N339" s="77"/>
      <c r="O339" s="77">
        <v>1259</v>
      </c>
      <c r="P339" s="77"/>
      <c r="Q339" s="77">
        <v>1721</v>
      </c>
      <c r="R339" s="77"/>
      <c r="S339" s="77">
        <v>889</v>
      </c>
      <c r="T339" s="77"/>
      <c r="U339" s="77">
        <v>0</v>
      </c>
      <c r="V339" s="77"/>
      <c r="W339" s="77">
        <v>0</v>
      </c>
      <c r="X339" s="77"/>
      <c r="Y339" s="77">
        <v>0</v>
      </c>
      <c r="Z339" s="77"/>
      <c r="AA339" s="77">
        <v>401437</v>
      </c>
      <c r="AB339" s="77"/>
      <c r="AC339" s="77">
        <v>0</v>
      </c>
      <c r="AD339" s="77"/>
      <c r="AE339" s="77">
        <v>8858</v>
      </c>
      <c r="AF339" s="77"/>
      <c r="AG339" s="77">
        <v>0</v>
      </c>
      <c r="AH339" s="77"/>
      <c r="AI339" s="77">
        <f t="shared" si="12"/>
        <v>1931837</v>
      </c>
      <c r="AJ339" s="24"/>
      <c r="AK339" s="15" t="str">
        <f>'Gen Rev'!A339</f>
        <v>Lewisburg</v>
      </c>
      <c r="AL339" s="15" t="str">
        <f t="shared" si="13"/>
        <v>Lewisburg</v>
      </c>
      <c r="AM339" s="15" t="b">
        <f t="shared" si="14"/>
        <v>1</v>
      </c>
      <c r="AN339" s="24"/>
      <c r="AO339" s="24"/>
      <c r="AP339" s="24"/>
    </row>
    <row r="340" spans="1:42" ht="12" customHeight="1" x14ac:dyDescent="0.2">
      <c r="A340" s="1" t="s">
        <v>165</v>
      </c>
      <c r="B340" s="1"/>
      <c r="C340" s="1" t="s">
        <v>785</v>
      </c>
      <c r="E340" s="77">
        <v>25841.91</v>
      </c>
      <c r="F340" s="77"/>
      <c r="G340" s="77">
        <v>0</v>
      </c>
      <c r="H340" s="77"/>
      <c r="I340" s="77">
        <v>5751.33</v>
      </c>
      <c r="J340" s="77"/>
      <c r="K340" s="77">
        <v>0</v>
      </c>
      <c r="L340" s="77"/>
      <c r="M340" s="77">
        <v>0</v>
      </c>
      <c r="N340" s="77"/>
      <c r="O340" s="77">
        <v>0</v>
      </c>
      <c r="P340" s="77"/>
      <c r="Q340" s="77">
        <v>0</v>
      </c>
      <c r="R340" s="77"/>
      <c r="S340" s="77">
        <v>0</v>
      </c>
      <c r="T340" s="77"/>
      <c r="U340" s="77">
        <v>0</v>
      </c>
      <c r="V340" s="77"/>
      <c r="W340" s="77">
        <v>0</v>
      </c>
      <c r="X340" s="77"/>
      <c r="Y340" s="77">
        <v>0</v>
      </c>
      <c r="Z340" s="77"/>
      <c r="AA340" s="77">
        <v>0</v>
      </c>
      <c r="AB340" s="77"/>
      <c r="AC340" s="77">
        <v>0</v>
      </c>
      <c r="AD340" s="77"/>
      <c r="AE340" s="77">
        <v>0</v>
      </c>
      <c r="AF340" s="77"/>
      <c r="AG340" s="77">
        <v>0</v>
      </c>
      <c r="AH340" s="77"/>
      <c r="AI340" s="77">
        <f t="shared" si="12"/>
        <v>31593.239999999998</v>
      </c>
      <c r="AJ340" s="24"/>
      <c r="AK340" s="15" t="str">
        <f>'Gen Rev'!A340</f>
        <v>Lewisville</v>
      </c>
      <c r="AL340" s="15" t="str">
        <f t="shared" si="13"/>
        <v>Lewisville</v>
      </c>
      <c r="AM340" s="15" t="b">
        <f t="shared" si="14"/>
        <v>1</v>
      </c>
      <c r="AN340" s="31"/>
      <c r="AO340" s="31"/>
      <c r="AP340" s="31"/>
    </row>
    <row r="341" spans="1:42" ht="12" customHeight="1" x14ac:dyDescent="0.2">
      <c r="A341" s="15" t="s">
        <v>520</v>
      </c>
      <c r="C341" s="15" t="s">
        <v>519</v>
      </c>
      <c r="E341" s="77">
        <v>2196078</v>
      </c>
      <c r="F341" s="77"/>
      <c r="G341" s="77">
        <v>0</v>
      </c>
      <c r="H341" s="77"/>
      <c r="I341" s="77">
        <v>1864</v>
      </c>
      <c r="J341" s="77"/>
      <c r="K341" s="77">
        <v>0</v>
      </c>
      <c r="L341" s="77"/>
      <c r="M341" s="77">
        <f>343248+11290</f>
        <v>354538</v>
      </c>
      <c r="N341" s="77"/>
      <c r="O341" s="77">
        <v>69102</v>
      </c>
      <c r="P341" s="77"/>
      <c r="Q341" s="77">
        <v>3152</v>
      </c>
      <c r="R341" s="77"/>
      <c r="S341" s="77">
        <v>532886</v>
      </c>
      <c r="T341" s="77"/>
      <c r="U341" s="77">
        <v>0</v>
      </c>
      <c r="V341" s="77"/>
      <c r="W341" s="77">
        <v>0</v>
      </c>
      <c r="X341" s="77"/>
      <c r="Y341" s="77">
        <v>0</v>
      </c>
      <c r="Z341" s="77"/>
      <c r="AA341" s="77">
        <v>0</v>
      </c>
      <c r="AB341" s="77"/>
      <c r="AC341" s="77">
        <v>0</v>
      </c>
      <c r="AD341" s="77"/>
      <c r="AE341" s="77">
        <v>392302</v>
      </c>
      <c r="AF341" s="77"/>
      <c r="AG341" s="77">
        <v>0</v>
      </c>
      <c r="AH341" s="77"/>
      <c r="AI341" s="77">
        <f t="shared" ref="AI341:AI407" si="15">SUM(E341:AG341)</f>
        <v>3549922</v>
      </c>
      <c r="AJ341" s="24"/>
      <c r="AK341" s="15" t="str">
        <f>'Gen Rev'!A341</f>
        <v>Lexington</v>
      </c>
      <c r="AL341" s="15" t="str">
        <f t="shared" ref="AL341:AL407" si="16">A341</f>
        <v>Lexington</v>
      </c>
      <c r="AM341" s="15" t="b">
        <f t="shared" ref="AM341:AM407" si="17">AK341=AL341</f>
        <v>1</v>
      </c>
      <c r="AN341" s="31"/>
      <c r="AO341" s="31"/>
      <c r="AP341" s="31"/>
    </row>
    <row r="342" spans="1:42" s="24" customFormat="1" ht="12" customHeight="1" x14ac:dyDescent="0.2">
      <c r="A342" s="1" t="s">
        <v>106</v>
      </c>
      <c r="B342" s="1"/>
      <c r="C342" s="1" t="s">
        <v>766</v>
      </c>
      <c r="D342" s="15"/>
      <c r="E342" s="77">
        <v>29176.57</v>
      </c>
      <c r="F342" s="77"/>
      <c r="G342" s="77">
        <v>182230.2</v>
      </c>
      <c r="H342" s="77"/>
      <c r="I342" s="77">
        <v>94647.78</v>
      </c>
      <c r="J342" s="77"/>
      <c r="K342" s="77">
        <v>165622.81</v>
      </c>
      <c r="L342" s="77"/>
      <c r="M342" s="77">
        <v>9894.65</v>
      </c>
      <c r="N342" s="77"/>
      <c r="O342" s="77">
        <v>9765.33</v>
      </c>
      <c r="P342" s="77"/>
      <c r="Q342" s="77">
        <v>6067.3</v>
      </c>
      <c r="R342" s="77"/>
      <c r="S342" s="77">
        <v>8370.7000000000007</v>
      </c>
      <c r="T342" s="77"/>
      <c r="U342" s="77">
        <v>0</v>
      </c>
      <c r="V342" s="77"/>
      <c r="W342" s="77">
        <v>0</v>
      </c>
      <c r="X342" s="77"/>
      <c r="Y342" s="77">
        <v>0</v>
      </c>
      <c r="Z342" s="77"/>
      <c r="AA342" s="77">
        <v>2373.86</v>
      </c>
      <c r="AB342" s="77"/>
      <c r="AC342" s="77">
        <v>0</v>
      </c>
      <c r="AD342" s="77"/>
      <c r="AE342" s="77">
        <v>0</v>
      </c>
      <c r="AF342" s="77"/>
      <c r="AG342" s="77">
        <v>0</v>
      </c>
      <c r="AH342" s="77"/>
      <c r="AI342" s="77">
        <f t="shared" si="15"/>
        <v>508149.20000000007</v>
      </c>
      <c r="AK342" s="15" t="str">
        <f>'Gen Rev'!A342</f>
        <v>Liberty Center</v>
      </c>
      <c r="AL342" s="15" t="str">
        <f t="shared" si="16"/>
        <v>Liberty Center</v>
      </c>
      <c r="AM342" s="15" t="b">
        <f t="shared" si="17"/>
        <v>1</v>
      </c>
      <c r="AN342" s="31"/>
      <c r="AO342" s="31"/>
      <c r="AP342" s="31"/>
    </row>
    <row r="343" spans="1:42" ht="12" hidden="1" customHeight="1" x14ac:dyDescent="0.2">
      <c r="A343" s="1" t="s">
        <v>226</v>
      </c>
      <c r="B343" s="1"/>
      <c r="C343" s="1" t="s">
        <v>540</v>
      </c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>
        <f t="shared" si="15"/>
        <v>0</v>
      </c>
      <c r="AJ343" s="24"/>
      <c r="AK343" s="15" t="str">
        <f>'Gen Rev'!A343</f>
        <v>Limaville</v>
      </c>
      <c r="AL343" s="15" t="str">
        <f t="shared" si="16"/>
        <v>Limaville</v>
      </c>
      <c r="AM343" s="15" t="b">
        <f t="shared" si="17"/>
        <v>1</v>
      </c>
      <c r="AN343" s="31"/>
      <c r="AO343" s="31"/>
      <c r="AP343" s="31"/>
    </row>
    <row r="344" spans="1:42" s="31" customFormat="1" ht="12" customHeight="1" x14ac:dyDescent="0.2">
      <c r="A344" s="15" t="s">
        <v>383</v>
      </c>
      <c r="B344" s="15"/>
      <c r="C344" s="15" t="s">
        <v>378</v>
      </c>
      <c r="D344" s="15"/>
      <c r="E344" s="77">
        <v>571538</v>
      </c>
      <c r="F344" s="77"/>
      <c r="G344" s="77">
        <v>506665</v>
      </c>
      <c r="H344" s="77"/>
      <c r="I344" s="77">
        <v>604190</v>
      </c>
      <c r="J344" s="77"/>
      <c r="K344" s="77">
        <v>0</v>
      </c>
      <c r="L344" s="77"/>
      <c r="M344" s="77">
        <v>230179</v>
      </c>
      <c r="N344" s="77"/>
      <c r="O344" s="77">
        <v>163874</v>
      </c>
      <c r="P344" s="77"/>
      <c r="Q344" s="77">
        <v>47</v>
      </c>
      <c r="R344" s="77"/>
      <c r="S344" s="77">
        <v>22004</v>
      </c>
      <c r="T344" s="77"/>
      <c r="U344" s="77">
        <v>0</v>
      </c>
      <c r="V344" s="77"/>
      <c r="W344" s="77">
        <v>0</v>
      </c>
      <c r="X344" s="77"/>
      <c r="Y344" s="77">
        <v>0</v>
      </c>
      <c r="Z344" s="77"/>
      <c r="AA344" s="77">
        <v>241590</v>
      </c>
      <c r="AB344" s="77"/>
      <c r="AC344" s="77">
        <v>0</v>
      </c>
      <c r="AD344" s="77"/>
      <c r="AE344" s="77">
        <v>0</v>
      </c>
      <c r="AF344" s="77"/>
      <c r="AG344" s="77">
        <v>0</v>
      </c>
      <c r="AH344" s="77"/>
      <c r="AI344" s="77">
        <f t="shared" si="15"/>
        <v>2340087</v>
      </c>
      <c r="AJ344" s="24"/>
      <c r="AK344" s="15" t="str">
        <f>'Gen Rev'!A344</f>
        <v>Lincoln Heights</v>
      </c>
      <c r="AL344" s="15" t="str">
        <f t="shared" si="16"/>
        <v>Lincoln Heights</v>
      </c>
      <c r="AM344" s="15" t="b">
        <f t="shared" si="17"/>
        <v>1</v>
      </c>
      <c r="AN344" s="15"/>
      <c r="AO344" s="15"/>
      <c r="AP344" s="15"/>
    </row>
    <row r="345" spans="1:42" s="31" customFormat="1" ht="12" customHeight="1" x14ac:dyDescent="0.2">
      <c r="A345" s="1" t="s">
        <v>215</v>
      </c>
      <c r="B345" s="1"/>
      <c r="C345" s="1" t="s">
        <v>800</v>
      </c>
      <c r="D345" s="15"/>
      <c r="E345" s="77">
        <v>39683.06</v>
      </c>
      <c r="F345" s="77"/>
      <c r="G345" s="77">
        <v>0</v>
      </c>
      <c r="H345" s="77"/>
      <c r="I345" s="77">
        <v>65577.460000000006</v>
      </c>
      <c r="J345" s="77"/>
      <c r="K345" s="77">
        <v>0</v>
      </c>
      <c r="L345" s="77"/>
      <c r="M345" s="77">
        <v>94595</v>
      </c>
      <c r="N345" s="77"/>
      <c r="O345" s="77">
        <v>367.65</v>
      </c>
      <c r="P345" s="77"/>
      <c r="Q345" s="77">
        <v>369.95</v>
      </c>
      <c r="R345" s="77"/>
      <c r="S345" s="77">
        <v>682.13</v>
      </c>
      <c r="T345" s="77"/>
      <c r="U345" s="77">
        <v>0</v>
      </c>
      <c r="V345" s="77"/>
      <c r="W345" s="77">
        <v>0</v>
      </c>
      <c r="X345" s="77"/>
      <c r="Y345" s="77">
        <v>6925.83</v>
      </c>
      <c r="Z345" s="77"/>
      <c r="AA345" s="77">
        <v>0</v>
      </c>
      <c r="AB345" s="77"/>
      <c r="AC345" s="77">
        <v>0</v>
      </c>
      <c r="AD345" s="77"/>
      <c r="AE345" s="77">
        <v>0</v>
      </c>
      <c r="AF345" s="77"/>
      <c r="AG345" s="77">
        <v>0</v>
      </c>
      <c r="AH345" s="77"/>
      <c r="AI345" s="77">
        <f t="shared" si="15"/>
        <v>208201.08000000002</v>
      </c>
      <c r="AJ345" s="24"/>
      <c r="AK345" s="15" t="str">
        <f>'Gen Rev'!A345</f>
        <v>Lindsey</v>
      </c>
      <c r="AL345" s="15" t="str">
        <f t="shared" si="16"/>
        <v>Lindsey</v>
      </c>
      <c r="AM345" s="15" t="b">
        <f t="shared" si="17"/>
        <v>1</v>
      </c>
      <c r="AN345" s="15"/>
      <c r="AO345" s="15"/>
      <c r="AP345" s="15"/>
    </row>
    <row r="346" spans="1:42" ht="12" customHeight="1" x14ac:dyDescent="0.2">
      <c r="A346" s="1" t="s">
        <v>833</v>
      </c>
      <c r="B346" s="1"/>
      <c r="C346" s="1" t="s">
        <v>751</v>
      </c>
      <c r="E346" s="77">
        <v>7017.1</v>
      </c>
      <c r="F346" s="77"/>
      <c r="G346" s="77">
        <v>78439.64</v>
      </c>
      <c r="H346" s="77"/>
      <c r="I346" s="77">
        <v>53427.37</v>
      </c>
      <c r="J346" s="77"/>
      <c r="K346" s="77">
        <v>0</v>
      </c>
      <c r="L346" s="77"/>
      <c r="M346" s="77">
        <v>53611.4</v>
      </c>
      <c r="N346" s="77"/>
      <c r="O346" s="77">
        <v>955638.88</v>
      </c>
      <c r="P346" s="77"/>
      <c r="Q346" s="77">
        <v>1.1499999999999999</v>
      </c>
      <c r="R346" s="77"/>
      <c r="S346" s="77">
        <v>7998.59</v>
      </c>
      <c r="T346" s="77"/>
      <c r="U346" s="77">
        <v>0</v>
      </c>
      <c r="V346" s="77"/>
      <c r="W346" s="77">
        <v>0</v>
      </c>
      <c r="X346" s="77"/>
      <c r="Y346" s="77">
        <v>0</v>
      </c>
      <c r="Z346" s="77"/>
      <c r="AA346" s="77">
        <v>3000</v>
      </c>
      <c r="AB346" s="77"/>
      <c r="AC346" s="77">
        <v>100487.67999999999</v>
      </c>
      <c r="AD346" s="77"/>
      <c r="AE346" s="77">
        <v>0</v>
      </c>
      <c r="AF346" s="77"/>
      <c r="AG346" s="77">
        <v>0</v>
      </c>
      <c r="AH346" s="77"/>
      <c r="AI346" s="77">
        <f t="shared" si="15"/>
        <v>1259621.81</v>
      </c>
      <c r="AJ346" s="24"/>
      <c r="AK346" s="15" t="str">
        <f>'Gen Rev'!A346</f>
        <v>Linndale</v>
      </c>
      <c r="AL346" s="15" t="str">
        <f t="shared" si="16"/>
        <v>Linndale</v>
      </c>
      <c r="AM346" s="15" t="b">
        <f t="shared" si="17"/>
        <v>1</v>
      </c>
    </row>
    <row r="347" spans="1:42" ht="12" customHeight="1" x14ac:dyDescent="0.2">
      <c r="A347" s="1" t="s">
        <v>44</v>
      </c>
      <c r="B347" s="1"/>
      <c r="C347" s="1" t="s">
        <v>749</v>
      </c>
      <c r="E347" s="77">
        <v>210663.85</v>
      </c>
      <c r="F347" s="77"/>
      <c r="G347" s="77">
        <v>1087468.6100000001</v>
      </c>
      <c r="H347" s="77"/>
      <c r="I347" s="77">
        <v>194139.89</v>
      </c>
      <c r="J347" s="77"/>
      <c r="K347" s="77">
        <v>0</v>
      </c>
      <c r="L347" s="77"/>
      <c r="M347" s="77">
        <v>90951.1</v>
      </c>
      <c r="N347" s="77"/>
      <c r="O347" s="77">
        <v>44840.47</v>
      </c>
      <c r="P347" s="77"/>
      <c r="Q347" s="77">
        <v>5405.23</v>
      </c>
      <c r="R347" s="77"/>
      <c r="S347" s="77">
        <v>1908</v>
      </c>
      <c r="T347" s="77"/>
      <c r="U347" s="77">
        <v>0</v>
      </c>
      <c r="V347" s="77"/>
      <c r="W347" s="77">
        <v>0</v>
      </c>
      <c r="X347" s="77"/>
      <c r="Y347" s="77">
        <v>0</v>
      </c>
      <c r="Z347" s="77"/>
      <c r="AA347" s="77">
        <v>242310.57</v>
      </c>
      <c r="AB347" s="77"/>
      <c r="AC347" s="77">
        <v>32000</v>
      </c>
      <c r="AD347" s="77"/>
      <c r="AE347" s="77">
        <v>16611.5</v>
      </c>
      <c r="AF347" s="77"/>
      <c r="AG347" s="77">
        <v>0</v>
      </c>
      <c r="AH347" s="77"/>
      <c r="AI347" s="77">
        <f t="shared" si="15"/>
        <v>1926299.2200000002</v>
      </c>
      <c r="AJ347" s="24"/>
      <c r="AK347" s="15" t="str">
        <f>'Gen Rev'!A347</f>
        <v>Lisbon</v>
      </c>
      <c r="AL347" s="15" t="str">
        <f t="shared" si="16"/>
        <v>Lisbon</v>
      </c>
      <c r="AM347" s="15" t="b">
        <f t="shared" si="17"/>
        <v>1</v>
      </c>
      <c r="AN347" s="31"/>
      <c r="AO347" s="31"/>
      <c r="AP347" s="31"/>
    </row>
    <row r="348" spans="1:42" s="31" customFormat="1" ht="12" customHeight="1" x14ac:dyDescent="0.2">
      <c r="A348" s="1" t="s">
        <v>912</v>
      </c>
      <c r="B348" s="1"/>
      <c r="C348" s="1" t="s">
        <v>350</v>
      </c>
      <c r="D348" s="15"/>
      <c r="E348" s="77">
        <v>62090.76</v>
      </c>
      <c r="F348" s="77"/>
      <c r="G348" s="77">
        <v>312355.40999999997</v>
      </c>
      <c r="H348" s="77"/>
      <c r="I348" s="77">
        <v>90498.71</v>
      </c>
      <c r="J348" s="77"/>
      <c r="K348" s="77">
        <v>0</v>
      </c>
      <c r="L348" s="77"/>
      <c r="M348" s="77">
        <v>144119.01</v>
      </c>
      <c r="N348" s="77"/>
      <c r="O348" s="77">
        <v>63869.82</v>
      </c>
      <c r="P348" s="77"/>
      <c r="Q348" s="77">
        <v>254.58</v>
      </c>
      <c r="R348" s="77"/>
      <c r="S348" s="77">
        <v>0</v>
      </c>
      <c r="T348" s="77"/>
      <c r="U348" s="77">
        <v>0</v>
      </c>
      <c r="V348" s="77"/>
      <c r="W348" s="77">
        <v>0</v>
      </c>
      <c r="X348" s="77"/>
      <c r="Y348" s="77">
        <v>0</v>
      </c>
      <c r="Z348" s="77"/>
      <c r="AA348" s="77">
        <v>0</v>
      </c>
      <c r="AB348" s="77"/>
      <c r="AC348" s="77">
        <v>49000</v>
      </c>
      <c r="AD348" s="77"/>
      <c r="AE348" s="77">
        <v>31119.88</v>
      </c>
      <c r="AF348" s="77"/>
      <c r="AG348" s="77">
        <v>0</v>
      </c>
      <c r="AH348" s="77"/>
      <c r="AI348" s="77">
        <f t="shared" si="15"/>
        <v>753308.16999999993</v>
      </c>
      <c r="AJ348" s="24"/>
      <c r="AK348" s="15" t="str">
        <f>'Gen Rev'!A348</f>
        <v>Lithopolis</v>
      </c>
      <c r="AL348" s="15" t="str">
        <f t="shared" si="16"/>
        <v>Lithopolis</v>
      </c>
      <c r="AM348" s="15" t="b">
        <f t="shared" si="17"/>
        <v>1</v>
      </c>
      <c r="AN348" s="15"/>
      <c r="AO348" s="15"/>
      <c r="AP348" s="15"/>
    </row>
    <row r="349" spans="1:42" ht="12" customHeight="1" x14ac:dyDescent="0.2">
      <c r="A349" s="1" t="s">
        <v>927</v>
      </c>
      <c r="B349" s="1"/>
      <c r="C349" s="1" t="s">
        <v>758</v>
      </c>
      <c r="E349" s="77">
        <v>7695.02</v>
      </c>
      <c r="F349" s="77"/>
      <c r="G349" s="77">
        <v>64420.51</v>
      </c>
      <c r="H349" s="77"/>
      <c r="I349" s="77">
        <v>39980.68</v>
      </c>
      <c r="J349" s="77"/>
      <c r="K349" s="77">
        <v>0</v>
      </c>
      <c r="L349" s="77"/>
      <c r="M349" s="77">
        <v>0</v>
      </c>
      <c r="N349" s="77"/>
      <c r="O349" s="77">
        <v>2732.46</v>
      </c>
      <c r="P349" s="77"/>
      <c r="Q349" s="77">
        <v>125.42</v>
      </c>
      <c r="R349" s="77"/>
      <c r="S349" s="77">
        <v>983</v>
      </c>
      <c r="T349" s="77"/>
      <c r="U349" s="77">
        <v>0</v>
      </c>
      <c r="V349" s="77"/>
      <c r="W349" s="77">
        <v>0</v>
      </c>
      <c r="X349" s="77"/>
      <c r="Y349" s="77">
        <v>0</v>
      </c>
      <c r="Z349" s="77"/>
      <c r="AA349" s="77">
        <v>0</v>
      </c>
      <c r="AB349" s="77"/>
      <c r="AC349" s="77">
        <v>0</v>
      </c>
      <c r="AD349" s="77"/>
      <c r="AE349" s="77">
        <v>0</v>
      </c>
      <c r="AF349" s="77"/>
      <c r="AG349" s="77">
        <v>0</v>
      </c>
      <c r="AH349" s="77"/>
      <c r="AI349" s="77">
        <f t="shared" si="15"/>
        <v>115937.09</v>
      </c>
      <c r="AJ349" s="24"/>
      <c r="AK349" s="15" t="str">
        <f>'Gen Rev'!A349</f>
        <v>Lockbourne</v>
      </c>
      <c r="AL349" s="15" t="str">
        <f t="shared" si="16"/>
        <v>Lockbourne</v>
      </c>
      <c r="AM349" s="15" t="b">
        <f t="shared" si="17"/>
        <v>1</v>
      </c>
      <c r="AN349" s="30"/>
      <c r="AO349" s="30"/>
      <c r="AP349" s="30"/>
    </row>
    <row r="350" spans="1:42" ht="12" customHeight="1" x14ac:dyDescent="0.2">
      <c r="A350" s="15" t="s">
        <v>537</v>
      </c>
      <c r="C350" s="15" t="s">
        <v>536</v>
      </c>
      <c r="E350" s="77">
        <f>2946+2197</f>
        <v>5143</v>
      </c>
      <c r="F350" s="77"/>
      <c r="G350" s="77">
        <v>0</v>
      </c>
      <c r="H350" s="77"/>
      <c r="I350" s="77">
        <f>10797+9907+1886</f>
        <v>22590</v>
      </c>
      <c r="J350" s="77"/>
      <c r="K350" s="77">
        <v>4092</v>
      </c>
      <c r="L350" s="77"/>
      <c r="M350" s="77">
        <v>0</v>
      </c>
      <c r="N350" s="77"/>
      <c r="O350" s="77">
        <v>64</v>
      </c>
      <c r="P350" s="77"/>
      <c r="Q350" s="77">
        <v>10</v>
      </c>
      <c r="R350" s="77"/>
      <c r="S350" s="77">
        <v>2667</v>
      </c>
      <c r="T350" s="77"/>
      <c r="U350" s="77">
        <v>0</v>
      </c>
      <c r="V350" s="77"/>
      <c r="W350" s="77">
        <v>0</v>
      </c>
      <c r="X350" s="77"/>
      <c r="Y350" s="77">
        <v>0</v>
      </c>
      <c r="Z350" s="77"/>
      <c r="AA350" s="77">
        <v>1886</v>
      </c>
      <c r="AB350" s="77"/>
      <c r="AC350" s="77">
        <v>0</v>
      </c>
      <c r="AD350" s="77"/>
      <c r="AE350" s="77">
        <v>0</v>
      </c>
      <c r="AF350" s="77"/>
      <c r="AG350" s="77">
        <v>0</v>
      </c>
      <c r="AH350" s="77"/>
      <c r="AI350" s="77">
        <f t="shared" si="15"/>
        <v>36452</v>
      </c>
      <c r="AJ350" s="24"/>
      <c r="AK350" s="15" t="str">
        <f>'Gen Rev'!A350</f>
        <v xml:space="preserve">Lockington </v>
      </c>
      <c r="AL350" s="15" t="str">
        <f t="shared" si="16"/>
        <v xml:space="preserve">Lockington </v>
      </c>
      <c r="AM350" s="15" t="b">
        <f t="shared" si="17"/>
        <v>1</v>
      </c>
    </row>
    <row r="351" spans="1:42" ht="12" customHeight="1" x14ac:dyDescent="0.2">
      <c r="A351" s="1" t="s">
        <v>95</v>
      </c>
      <c r="B351" s="1"/>
      <c r="C351" s="1" t="s">
        <v>763</v>
      </c>
      <c r="E351" s="77">
        <v>459590.39</v>
      </c>
      <c r="F351" s="77"/>
      <c r="G351" s="77">
        <v>2232146.9700000002</v>
      </c>
      <c r="H351" s="77"/>
      <c r="I351" s="77">
        <v>541038.97</v>
      </c>
      <c r="J351" s="77"/>
      <c r="K351" s="77">
        <v>119716.48</v>
      </c>
      <c r="L351" s="77"/>
      <c r="M351" s="77">
        <v>1197947.2</v>
      </c>
      <c r="N351" s="77"/>
      <c r="O351" s="77">
        <v>657943.85</v>
      </c>
      <c r="P351" s="77"/>
      <c r="Q351" s="77">
        <v>205239.17</v>
      </c>
      <c r="R351" s="77"/>
      <c r="S351" s="77">
        <v>58974.62</v>
      </c>
      <c r="T351" s="77"/>
      <c r="U351" s="77">
        <v>0</v>
      </c>
      <c r="V351" s="77"/>
      <c r="W351" s="77">
        <v>0</v>
      </c>
      <c r="X351" s="77"/>
      <c r="Y351" s="77">
        <v>0</v>
      </c>
      <c r="Z351" s="77"/>
      <c r="AA351" s="77">
        <v>507625.03</v>
      </c>
      <c r="AB351" s="77"/>
      <c r="AC351" s="77">
        <v>97730.78</v>
      </c>
      <c r="AD351" s="77"/>
      <c r="AE351" s="77">
        <v>104191.3</v>
      </c>
      <c r="AF351" s="77"/>
      <c r="AG351" s="77">
        <v>40500</v>
      </c>
      <c r="AH351" s="77"/>
      <c r="AI351" s="77">
        <f t="shared" si="15"/>
        <v>6222644.7599999998</v>
      </c>
      <c r="AJ351" s="24"/>
      <c r="AK351" s="15" t="str">
        <f>'Gen Rev'!A351</f>
        <v>Lockland</v>
      </c>
      <c r="AL351" s="15" t="str">
        <f t="shared" si="16"/>
        <v>Lockland</v>
      </c>
      <c r="AM351" s="15" t="b">
        <f t="shared" si="17"/>
        <v>1</v>
      </c>
    </row>
    <row r="352" spans="1:42" ht="12" customHeight="1" x14ac:dyDescent="0.2">
      <c r="A352" s="15" t="s">
        <v>948</v>
      </c>
      <c r="C352" s="15" t="s">
        <v>949</v>
      </c>
      <c r="E352" s="77">
        <v>393429</v>
      </c>
      <c r="F352" s="77"/>
      <c r="G352" s="77">
        <v>0</v>
      </c>
      <c r="H352" s="77"/>
      <c r="I352" s="77">
        <f>198266+135754</f>
        <v>334020</v>
      </c>
      <c r="J352" s="77"/>
      <c r="K352" s="77">
        <v>6788</v>
      </c>
      <c r="L352" s="77"/>
      <c r="M352" s="77">
        <v>340648</v>
      </c>
      <c r="N352" s="77"/>
      <c r="O352" s="77">
        <f>3597+845</f>
        <v>4442</v>
      </c>
      <c r="P352" s="77"/>
      <c r="Q352" s="77">
        <f>8076+971</f>
        <v>9047</v>
      </c>
      <c r="R352" s="77"/>
      <c r="S352" s="77">
        <v>320</v>
      </c>
      <c r="T352" s="77"/>
      <c r="U352" s="77">
        <v>0</v>
      </c>
      <c r="V352" s="77"/>
      <c r="W352" s="77">
        <v>0</v>
      </c>
      <c r="X352" s="77"/>
      <c r="Y352" s="77">
        <v>0</v>
      </c>
      <c r="Z352" s="77"/>
      <c r="AA352" s="77">
        <v>0</v>
      </c>
      <c r="AB352" s="77"/>
      <c r="AC352" s="77">
        <v>0</v>
      </c>
      <c r="AD352" s="77"/>
      <c r="AE352" s="77">
        <v>1321</v>
      </c>
      <c r="AF352" s="77"/>
      <c r="AG352" s="77">
        <v>0</v>
      </c>
      <c r="AH352" s="77"/>
      <c r="AI352" s="77">
        <f t="shared" si="15"/>
        <v>1090015</v>
      </c>
      <c r="AJ352" s="24"/>
      <c r="AK352" s="15" t="str">
        <f>'Gen Rev'!A352</f>
        <v>Lodi</v>
      </c>
      <c r="AL352" s="15" t="str">
        <f t="shared" si="16"/>
        <v>Lodi</v>
      </c>
      <c r="AM352" s="15" t="b">
        <f t="shared" si="17"/>
        <v>1</v>
      </c>
      <c r="AN352" s="31"/>
      <c r="AO352" s="31"/>
      <c r="AP352" s="31"/>
    </row>
    <row r="353" spans="1:42" ht="12" customHeight="1" x14ac:dyDescent="0.2">
      <c r="A353" s="15" t="s">
        <v>555</v>
      </c>
      <c r="C353" s="15" t="s">
        <v>556</v>
      </c>
      <c r="E353" s="77">
        <v>118498</v>
      </c>
      <c r="F353" s="77"/>
      <c r="G353" s="77">
        <v>7673369</v>
      </c>
      <c r="H353" s="77"/>
      <c r="I353" s="77">
        <v>335547</v>
      </c>
      <c r="J353" s="77"/>
      <c r="K353" s="77">
        <v>160</v>
      </c>
      <c r="L353" s="77"/>
      <c r="M353" s="77">
        <v>171818</v>
      </c>
      <c r="N353" s="77"/>
      <c r="O353" s="77">
        <v>60052</v>
      </c>
      <c r="P353" s="77"/>
      <c r="Q353" s="77">
        <v>4439</v>
      </c>
      <c r="R353" s="77"/>
      <c r="S353" s="77">
        <v>347534</v>
      </c>
      <c r="T353" s="77"/>
      <c r="U353" s="77">
        <v>0</v>
      </c>
      <c r="V353" s="77"/>
      <c r="W353" s="77">
        <v>0</v>
      </c>
      <c r="X353" s="77"/>
      <c r="Y353" s="77">
        <v>0</v>
      </c>
      <c r="Z353" s="77"/>
      <c r="AA353" s="77">
        <v>202593</v>
      </c>
      <c r="AB353" s="77"/>
      <c r="AC353" s="77">
        <v>0</v>
      </c>
      <c r="AD353" s="77"/>
      <c r="AE353" s="77">
        <v>0</v>
      </c>
      <c r="AF353" s="77"/>
      <c r="AG353" s="77">
        <v>0</v>
      </c>
      <c r="AH353" s="77"/>
      <c r="AI353" s="77">
        <f t="shared" si="15"/>
        <v>8914010</v>
      </c>
      <c r="AJ353" s="24"/>
      <c r="AK353" s="15" t="str">
        <f>'Gen Rev'!A353</f>
        <v>Lordstown</v>
      </c>
      <c r="AL353" s="15" t="str">
        <f t="shared" si="16"/>
        <v>Lordstown</v>
      </c>
      <c r="AM353" s="15" t="b">
        <f t="shared" si="17"/>
        <v>1</v>
      </c>
    </row>
    <row r="354" spans="1:42" s="31" customFormat="1" ht="12" customHeight="1" x14ac:dyDescent="0.2">
      <c r="A354" s="1" t="s">
        <v>88</v>
      </c>
      <c r="B354" s="1"/>
      <c r="C354" s="1" t="s">
        <v>762</v>
      </c>
      <c r="D354" s="15"/>
      <c r="E354" s="77">
        <v>37968.550000000003</v>
      </c>
      <c r="F354" s="77"/>
      <c r="G354" s="77">
        <v>0</v>
      </c>
      <c r="H354" s="77"/>
      <c r="I354" s="77">
        <v>39391.980000000003</v>
      </c>
      <c r="J354" s="77"/>
      <c r="K354" s="77">
        <v>140</v>
      </c>
      <c r="L354" s="77"/>
      <c r="M354" s="77">
        <v>21300</v>
      </c>
      <c r="N354" s="77"/>
      <c r="O354" s="77">
        <v>0</v>
      </c>
      <c r="P354" s="77"/>
      <c r="Q354" s="77">
        <v>45.74</v>
      </c>
      <c r="R354" s="77"/>
      <c r="S354" s="77">
        <v>17863.27</v>
      </c>
      <c r="T354" s="77"/>
      <c r="U354" s="77">
        <v>0</v>
      </c>
      <c r="V354" s="77"/>
      <c r="W354" s="77">
        <v>0</v>
      </c>
      <c r="X354" s="77"/>
      <c r="Y354" s="77">
        <v>0</v>
      </c>
      <c r="Z354" s="77"/>
      <c r="AA354" s="77">
        <v>337.85</v>
      </c>
      <c r="AB354" s="77"/>
      <c r="AC354" s="77">
        <v>0</v>
      </c>
      <c r="AD354" s="77"/>
      <c r="AE354" s="77">
        <v>0</v>
      </c>
      <c r="AF354" s="77"/>
      <c r="AG354" s="77">
        <v>45129.599999999999</v>
      </c>
      <c r="AH354" s="77"/>
      <c r="AI354" s="77">
        <f t="shared" si="15"/>
        <v>162176.99000000002</v>
      </c>
      <c r="AJ354" s="24"/>
      <c r="AK354" s="15" t="str">
        <f>'Gen Rev'!A354</f>
        <v>Lore City</v>
      </c>
      <c r="AL354" s="15" t="str">
        <f t="shared" si="16"/>
        <v>Lore City</v>
      </c>
      <c r="AM354" s="15" t="b">
        <f t="shared" si="17"/>
        <v>1</v>
      </c>
      <c r="AN354" s="32"/>
      <c r="AO354" s="32"/>
      <c r="AP354" s="32"/>
    </row>
    <row r="355" spans="1:42" s="31" customFormat="1" ht="12" customHeight="1" x14ac:dyDescent="0.2">
      <c r="A355" s="1" t="s">
        <v>907</v>
      </c>
      <c r="B355" s="1"/>
      <c r="C355" s="1" t="s">
        <v>666</v>
      </c>
      <c r="D355" s="15"/>
      <c r="E355" s="77">
        <v>321073.98</v>
      </c>
      <c r="F355" s="77"/>
      <c r="G355" s="77">
        <v>976745.41</v>
      </c>
      <c r="H355" s="77"/>
      <c r="I355" s="77">
        <v>345597.25</v>
      </c>
      <c r="J355" s="77"/>
      <c r="K355" s="77">
        <v>0</v>
      </c>
      <c r="L355" s="77"/>
      <c r="M355" s="77">
        <v>239972.13</v>
      </c>
      <c r="N355" s="77"/>
      <c r="O355" s="77">
        <v>23601.91</v>
      </c>
      <c r="P355" s="77"/>
      <c r="Q355" s="77">
        <v>2088.9499999999998</v>
      </c>
      <c r="R355" s="77"/>
      <c r="S355" s="77">
        <v>113687.32</v>
      </c>
      <c r="T355" s="77"/>
      <c r="U355" s="77">
        <v>0</v>
      </c>
      <c r="V355" s="77"/>
      <c r="W355" s="77">
        <v>0</v>
      </c>
      <c r="X355" s="77"/>
      <c r="Y355" s="77">
        <v>38016.199999999997</v>
      </c>
      <c r="Z355" s="77"/>
      <c r="AA355" s="77">
        <v>850872.74</v>
      </c>
      <c r="AB355" s="77"/>
      <c r="AC355" s="77">
        <v>20000</v>
      </c>
      <c r="AD355" s="77"/>
      <c r="AE355" s="77">
        <v>0</v>
      </c>
      <c r="AF355" s="77"/>
      <c r="AG355" s="77">
        <v>0</v>
      </c>
      <c r="AH355" s="77"/>
      <c r="AI355" s="77">
        <f t="shared" si="15"/>
        <v>2931655.8899999997</v>
      </c>
      <c r="AJ355" s="24"/>
      <c r="AK355" s="15" t="str">
        <f>'Gen Rev'!A355</f>
        <v>Loudonville</v>
      </c>
      <c r="AL355" s="15" t="str">
        <f t="shared" si="16"/>
        <v>Loudonville</v>
      </c>
      <c r="AM355" s="15" t="b">
        <f t="shared" si="17"/>
        <v>1</v>
      </c>
    </row>
    <row r="356" spans="1:42" ht="12" customHeight="1" x14ac:dyDescent="0.2">
      <c r="A356" s="1" t="s">
        <v>245</v>
      </c>
      <c r="B356" s="1"/>
      <c r="C356" s="1" t="s">
        <v>810</v>
      </c>
      <c r="E356" s="77">
        <v>12472.75</v>
      </c>
      <c r="F356" s="77"/>
      <c r="G356" s="77">
        <v>0</v>
      </c>
      <c r="H356" s="77"/>
      <c r="I356" s="77">
        <v>47017.599999999999</v>
      </c>
      <c r="J356" s="77"/>
      <c r="K356" s="77">
        <v>0</v>
      </c>
      <c r="L356" s="77"/>
      <c r="M356" s="77">
        <v>0</v>
      </c>
      <c r="N356" s="77"/>
      <c r="O356" s="77">
        <v>25</v>
      </c>
      <c r="P356" s="77"/>
      <c r="Q356" s="77">
        <v>242.75</v>
      </c>
      <c r="R356" s="77"/>
      <c r="S356" s="77">
        <v>35952.53</v>
      </c>
      <c r="T356" s="77"/>
      <c r="U356" s="77">
        <v>0</v>
      </c>
      <c r="V356" s="77"/>
      <c r="W356" s="77">
        <v>0</v>
      </c>
      <c r="X356" s="77"/>
      <c r="Y356" s="77">
        <v>0</v>
      </c>
      <c r="Z356" s="77"/>
      <c r="AA356" s="77">
        <v>0</v>
      </c>
      <c r="AB356" s="77"/>
      <c r="AC356" s="77">
        <v>0</v>
      </c>
      <c r="AD356" s="77"/>
      <c r="AE356" s="77">
        <v>0</v>
      </c>
      <c r="AF356" s="77"/>
      <c r="AG356" s="77">
        <v>0</v>
      </c>
      <c r="AH356" s="77"/>
      <c r="AI356" s="77">
        <f t="shared" si="15"/>
        <v>95710.63</v>
      </c>
      <c r="AJ356" s="24"/>
      <c r="AK356" s="15" t="str">
        <f>'Gen Rev'!A356</f>
        <v>Lowell</v>
      </c>
      <c r="AL356" s="15" t="str">
        <f t="shared" si="16"/>
        <v>Lowell</v>
      </c>
      <c r="AM356" s="15" t="b">
        <f t="shared" si="17"/>
        <v>1</v>
      </c>
    </row>
    <row r="357" spans="1:42" s="31" customFormat="1" ht="12" customHeight="1" x14ac:dyDescent="0.2">
      <c r="A357" s="1" t="s">
        <v>840</v>
      </c>
      <c r="B357" s="1"/>
      <c r="C357" s="1" t="s">
        <v>779</v>
      </c>
      <c r="D357" s="24"/>
      <c r="E357" s="77">
        <v>103559.52</v>
      </c>
      <c r="F357" s="77"/>
      <c r="G357" s="77">
        <v>502316.73</v>
      </c>
      <c r="H357" s="77"/>
      <c r="I357" s="77">
        <v>132049.62</v>
      </c>
      <c r="J357" s="77"/>
      <c r="K357" s="77">
        <v>8776.74</v>
      </c>
      <c r="L357" s="77"/>
      <c r="M357" s="77">
        <v>90519.93</v>
      </c>
      <c r="N357" s="77"/>
      <c r="O357" s="77">
        <v>21537.24</v>
      </c>
      <c r="P357" s="77"/>
      <c r="Q357" s="77">
        <v>96.52</v>
      </c>
      <c r="R357" s="77"/>
      <c r="S357" s="77">
        <v>3390</v>
      </c>
      <c r="T357" s="77"/>
      <c r="U357" s="77">
        <v>0</v>
      </c>
      <c r="V357" s="77"/>
      <c r="W357" s="77">
        <v>0</v>
      </c>
      <c r="X357" s="77"/>
      <c r="Y357" s="77">
        <v>0</v>
      </c>
      <c r="Z357" s="77"/>
      <c r="AA357" s="77">
        <v>7530</v>
      </c>
      <c r="AB357" s="77"/>
      <c r="AC357" s="77">
        <v>0</v>
      </c>
      <c r="AD357" s="77"/>
      <c r="AE357" s="77">
        <v>12000</v>
      </c>
      <c r="AF357" s="77"/>
      <c r="AG357" s="77">
        <v>0</v>
      </c>
      <c r="AH357" s="77"/>
      <c r="AI357" s="77">
        <f t="shared" si="15"/>
        <v>881776.3</v>
      </c>
      <c r="AJ357" s="24"/>
      <c r="AK357" s="15" t="str">
        <f>'Gen Rev'!A357</f>
        <v>Lowellville</v>
      </c>
      <c r="AL357" s="15" t="str">
        <f t="shared" si="16"/>
        <v>Lowellville</v>
      </c>
      <c r="AM357" s="15" t="b">
        <f t="shared" si="17"/>
        <v>1</v>
      </c>
      <c r="AN357" s="29"/>
      <c r="AO357" s="29"/>
      <c r="AP357" s="29"/>
    </row>
    <row r="358" spans="1:42" s="31" customFormat="1" ht="12" customHeight="1" x14ac:dyDescent="0.2">
      <c r="A358" s="1" t="s">
        <v>246</v>
      </c>
      <c r="B358" s="1"/>
      <c r="C358" s="1" t="s">
        <v>810</v>
      </c>
      <c r="D358" s="15"/>
      <c r="E358" s="77">
        <v>1414.99</v>
      </c>
      <c r="F358" s="77"/>
      <c r="G358" s="77">
        <v>0</v>
      </c>
      <c r="H358" s="77"/>
      <c r="I358" s="77">
        <v>18973.919999999998</v>
      </c>
      <c r="J358" s="77"/>
      <c r="K358" s="77">
        <v>0</v>
      </c>
      <c r="L358" s="77"/>
      <c r="M358" s="77">
        <v>3412</v>
      </c>
      <c r="N358" s="77"/>
      <c r="O358" s="77">
        <v>0</v>
      </c>
      <c r="P358" s="77"/>
      <c r="Q358" s="77">
        <v>91.42</v>
      </c>
      <c r="R358" s="77"/>
      <c r="S358" s="77">
        <v>0.66</v>
      </c>
      <c r="T358" s="77"/>
      <c r="U358" s="77">
        <v>0</v>
      </c>
      <c r="V358" s="77"/>
      <c r="W358" s="77">
        <v>0</v>
      </c>
      <c r="X358" s="77"/>
      <c r="Y358" s="77">
        <v>0</v>
      </c>
      <c r="Z358" s="77"/>
      <c r="AA358" s="77">
        <v>0</v>
      </c>
      <c r="AB358" s="77"/>
      <c r="AC358" s="77">
        <v>0</v>
      </c>
      <c r="AD358" s="77"/>
      <c r="AE358" s="77">
        <v>0</v>
      </c>
      <c r="AF358" s="77"/>
      <c r="AG358" s="77">
        <v>0</v>
      </c>
      <c r="AH358" s="77"/>
      <c r="AI358" s="77">
        <f t="shared" si="15"/>
        <v>23892.989999999998</v>
      </c>
      <c r="AJ358" s="24"/>
      <c r="AK358" s="15" t="str">
        <f>'Gen Rev'!A358</f>
        <v>Lower Salem</v>
      </c>
      <c r="AL358" s="15" t="str">
        <f t="shared" si="16"/>
        <v>Lower Salem</v>
      </c>
      <c r="AM358" s="15" t="b">
        <f t="shared" si="17"/>
        <v>1</v>
      </c>
      <c r="AN358" s="15"/>
      <c r="AO358" s="15"/>
      <c r="AP358" s="15"/>
    </row>
    <row r="359" spans="1:42" ht="12" customHeight="1" x14ac:dyDescent="0.2">
      <c r="A359" s="15" t="s">
        <v>455</v>
      </c>
      <c r="C359" s="15" t="s">
        <v>519</v>
      </c>
      <c r="E359" s="77">
        <v>27465</v>
      </c>
      <c r="F359" s="77"/>
      <c r="G359" s="77">
        <v>0</v>
      </c>
      <c r="H359" s="77"/>
      <c r="I359" s="77">
        <v>64794</v>
      </c>
      <c r="J359" s="77"/>
      <c r="K359" s="77">
        <v>0</v>
      </c>
      <c r="L359" s="77"/>
      <c r="M359" s="77">
        <v>1415</v>
      </c>
      <c r="N359" s="77"/>
      <c r="O359" s="77">
        <v>1612</v>
      </c>
      <c r="P359" s="77"/>
      <c r="Q359" s="77">
        <v>1333</v>
      </c>
      <c r="R359" s="77"/>
      <c r="S359" s="77">
        <v>1211</v>
      </c>
      <c r="T359" s="77"/>
      <c r="U359" s="77">
        <v>0</v>
      </c>
      <c r="V359" s="77"/>
      <c r="W359" s="77">
        <v>0</v>
      </c>
      <c r="X359" s="77"/>
      <c r="Y359" s="77">
        <v>0</v>
      </c>
      <c r="Z359" s="77"/>
      <c r="AA359" s="77">
        <v>20000</v>
      </c>
      <c r="AB359" s="77"/>
      <c r="AC359" s="77">
        <v>0</v>
      </c>
      <c r="AD359" s="77"/>
      <c r="AE359" s="77">
        <v>0</v>
      </c>
      <c r="AF359" s="77"/>
      <c r="AG359" s="77">
        <v>0</v>
      </c>
      <c r="AH359" s="77"/>
      <c r="AI359" s="77">
        <f t="shared" si="15"/>
        <v>117830</v>
      </c>
      <c r="AJ359" s="24"/>
      <c r="AK359" s="15" t="str">
        <f>'Gen Rev'!A359</f>
        <v>Lucas</v>
      </c>
      <c r="AL359" s="15" t="str">
        <f t="shared" si="16"/>
        <v>Lucas</v>
      </c>
      <c r="AM359" s="15" t="b">
        <f t="shared" si="17"/>
        <v>1</v>
      </c>
    </row>
    <row r="360" spans="1:42" ht="12" customHeight="1" x14ac:dyDescent="0.2">
      <c r="A360" s="1" t="s">
        <v>604</v>
      </c>
      <c r="B360" s="1"/>
      <c r="C360" s="1" t="s">
        <v>601</v>
      </c>
      <c r="E360" s="77">
        <v>81873</v>
      </c>
      <c r="F360" s="77"/>
      <c r="G360" s="77">
        <v>157433.89000000001</v>
      </c>
      <c r="H360" s="77"/>
      <c r="I360" s="77">
        <v>131129.10999999999</v>
      </c>
      <c r="J360" s="77"/>
      <c r="K360" s="77">
        <v>12132.44</v>
      </c>
      <c r="L360" s="77"/>
      <c r="M360" s="77">
        <v>70448.53</v>
      </c>
      <c r="N360" s="77"/>
      <c r="O360" s="77">
        <v>6636.01</v>
      </c>
      <c r="P360" s="77"/>
      <c r="Q360" s="77">
        <v>908.87</v>
      </c>
      <c r="R360" s="77"/>
      <c r="S360" s="77">
        <v>2130.19</v>
      </c>
      <c r="T360" s="77"/>
      <c r="U360" s="77">
        <v>0</v>
      </c>
      <c r="V360" s="77"/>
      <c r="W360" s="77">
        <v>0</v>
      </c>
      <c r="X360" s="77"/>
      <c r="Y360" s="77">
        <v>0</v>
      </c>
      <c r="Z360" s="77"/>
      <c r="AA360" s="77">
        <v>31486.77</v>
      </c>
      <c r="AB360" s="77"/>
      <c r="AC360" s="77">
        <v>0</v>
      </c>
      <c r="AD360" s="77"/>
      <c r="AE360" s="77">
        <v>1754.75</v>
      </c>
      <c r="AF360" s="77"/>
      <c r="AG360" s="77">
        <v>0</v>
      </c>
      <c r="AH360" s="77"/>
      <c r="AI360" s="77">
        <f t="shared" si="15"/>
        <v>495933.56</v>
      </c>
      <c r="AJ360" s="24"/>
      <c r="AK360" s="15" t="str">
        <f>'Gen Rev'!A360</f>
        <v>Luckey</v>
      </c>
      <c r="AL360" s="15" t="str">
        <f t="shared" si="16"/>
        <v>Luckey</v>
      </c>
      <c r="AM360" s="15" t="b">
        <f t="shared" si="17"/>
        <v>1</v>
      </c>
      <c r="AN360" s="31"/>
      <c r="AO360" s="31"/>
      <c r="AP360" s="31"/>
    </row>
    <row r="361" spans="1:42" ht="12" customHeight="1" x14ac:dyDescent="0.2">
      <c r="A361" s="1" t="s">
        <v>110</v>
      </c>
      <c r="B361" s="1"/>
      <c r="C361" s="1" t="s">
        <v>767</v>
      </c>
      <c r="E361" s="77">
        <v>209407.85</v>
      </c>
      <c r="F361" s="77"/>
      <c r="G361" s="77">
        <v>0</v>
      </c>
      <c r="H361" s="77"/>
      <c r="I361" s="77">
        <v>150902.88</v>
      </c>
      <c r="J361" s="77"/>
      <c r="K361" s="77">
        <v>26.39</v>
      </c>
      <c r="L361" s="77"/>
      <c r="M361" s="77">
        <v>20000</v>
      </c>
      <c r="N361" s="77"/>
      <c r="O361" s="77">
        <v>33654.07</v>
      </c>
      <c r="P361" s="77"/>
      <c r="Q361" s="77">
        <v>2418.0700000000002</v>
      </c>
      <c r="R361" s="77"/>
      <c r="S361" s="77">
        <v>20897.14</v>
      </c>
      <c r="T361" s="77"/>
      <c r="U361" s="77">
        <v>0</v>
      </c>
      <c r="V361" s="77"/>
      <c r="W361" s="77">
        <v>0</v>
      </c>
      <c r="X361" s="77"/>
      <c r="Y361" s="77">
        <v>0</v>
      </c>
      <c r="Z361" s="77"/>
      <c r="AA361" s="77">
        <v>181073.56</v>
      </c>
      <c r="AB361" s="77"/>
      <c r="AC361" s="77">
        <v>19844</v>
      </c>
      <c r="AD361" s="77"/>
      <c r="AE361" s="77">
        <v>476.79</v>
      </c>
      <c r="AF361" s="77"/>
      <c r="AG361" s="77">
        <v>0</v>
      </c>
      <c r="AH361" s="77"/>
      <c r="AI361" s="77">
        <f t="shared" si="15"/>
        <v>638700.75</v>
      </c>
      <c r="AJ361" s="24"/>
      <c r="AK361" s="15" t="str">
        <f>'Gen Rev'!A361</f>
        <v>Lynchburg</v>
      </c>
      <c r="AL361" s="15" t="str">
        <f t="shared" si="16"/>
        <v>Lynchburg</v>
      </c>
      <c r="AM361" s="15" t="b">
        <f t="shared" si="17"/>
        <v>1</v>
      </c>
    </row>
    <row r="362" spans="1:42" ht="12" customHeight="1" x14ac:dyDescent="0.2">
      <c r="A362" s="1" t="s">
        <v>78</v>
      </c>
      <c r="B362" s="1"/>
      <c r="C362" s="1" t="s">
        <v>759</v>
      </c>
      <c r="E362" s="77">
        <v>87709.09</v>
      </c>
      <c r="F362" s="77"/>
      <c r="G362" s="77">
        <v>0</v>
      </c>
      <c r="H362" s="77"/>
      <c r="I362" s="77">
        <v>159702.54</v>
      </c>
      <c r="J362" s="77"/>
      <c r="K362" s="77">
        <v>0</v>
      </c>
      <c r="L362" s="77"/>
      <c r="M362" s="77">
        <v>0</v>
      </c>
      <c r="N362" s="77"/>
      <c r="O362" s="77">
        <v>2242.59</v>
      </c>
      <c r="P362" s="77"/>
      <c r="Q362" s="77">
        <v>531.75</v>
      </c>
      <c r="R362" s="77"/>
      <c r="S362" s="77">
        <v>24273.55</v>
      </c>
      <c r="T362" s="77"/>
      <c r="U362" s="77">
        <v>0</v>
      </c>
      <c r="V362" s="77"/>
      <c r="W362" s="77">
        <v>0</v>
      </c>
      <c r="X362" s="77"/>
      <c r="Y362" s="77">
        <v>0</v>
      </c>
      <c r="Z362" s="77"/>
      <c r="AA362" s="77">
        <v>0</v>
      </c>
      <c r="AB362" s="77"/>
      <c r="AC362" s="77">
        <v>70000</v>
      </c>
      <c r="AD362" s="77"/>
      <c r="AE362" s="77">
        <v>0</v>
      </c>
      <c r="AF362" s="77"/>
      <c r="AG362" s="77">
        <v>0</v>
      </c>
      <c r="AH362" s="77"/>
      <c r="AI362" s="77">
        <f t="shared" si="15"/>
        <v>344459.52000000002</v>
      </c>
      <c r="AJ362" s="24"/>
      <c r="AK362" s="15" t="str">
        <f>'Gen Rev'!A362</f>
        <v>Lyons</v>
      </c>
      <c r="AL362" s="15" t="str">
        <f t="shared" si="16"/>
        <v>Lyons</v>
      </c>
      <c r="AM362" s="15" t="b">
        <f t="shared" si="17"/>
        <v>1</v>
      </c>
    </row>
    <row r="363" spans="1:42" ht="12" customHeight="1" x14ac:dyDescent="0.2">
      <c r="A363" s="15" t="s">
        <v>432</v>
      </c>
      <c r="C363" s="15" t="s">
        <v>430</v>
      </c>
      <c r="E363" s="77">
        <v>120239.13</v>
      </c>
      <c r="F363" s="77"/>
      <c r="G363" s="77">
        <v>881087.52</v>
      </c>
      <c r="H363" s="77"/>
      <c r="I363" s="77">
        <v>492962.3</v>
      </c>
      <c r="J363" s="77"/>
      <c r="K363" s="77">
        <v>140540.26999999999</v>
      </c>
      <c r="L363" s="77"/>
      <c r="M363" s="77">
        <v>41191</v>
      </c>
      <c r="N363" s="77"/>
      <c r="O363" s="77">
        <v>103988.92</v>
      </c>
      <c r="P363" s="77"/>
      <c r="Q363" s="77">
        <v>2321.4699999999998</v>
      </c>
      <c r="R363" s="77"/>
      <c r="S363" s="77">
        <v>59638.67</v>
      </c>
      <c r="T363" s="77"/>
      <c r="U363" s="77">
        <v>0</v>
      </c>
      <c r="V363" s="77"/>
      <c r="W363" s="77">
        <v>0</v>
      </c>
      <c r="X363" s="77"/>
      <c r="Y363" s="77">
        <v>0</v>
      </c>
      <c r="Z363" s="77"/>
      <c r="AA363" s="77">
        <v>264789.81</v>
      </c>
      <c r="AB363" s="77"/>
      <c r="AC363" s="77">
        <v>170000</v>
      </c>
      <c r="AD363" s="77"/>
      <c r="AE363" s="77">
        <v>0</v>
      </c>
      <c r="AF363" s="77"/>
      <c r="AG363" s="77">
        <v>0</v>
      </c>
      <c r="AH363" s="77"/>
      <c r="AI363" s="77">
        <f t="shared" si="15"/>
        <v>2276759.09</v>
      </c>
      <c r="AJ363" s="24"/>
      <c r="AK363" s="15" t="str">
        <f>'Gen Rev'!A363</f>
        <v>Madison</v>
      </c>
      <c r="AL363" s="15" t="str">
        <f t="shared" si="16"/>
        <v>Madison</v>
      </c>
      <c r="AM363" s="15" t="b">
        <f t="shared" si="17"/>
        <v>1</v>
      </c>
    </row>
    <row r="364" spans="1:42" s="31" customFormat="1" ht="12" customHeight="1" x14ac:dyDescent="0.2">
      <c r="A364" s="1" t="s">
        <v>236</v>
      </c>
      <c r="B364" s="1"/>
      <c r="C364" s="1" t="s">
        <v>807</v>
      </c>
      <c r="D364" s="15"/>
      <c r="E364" s="77">
        <v>27302.58</v>
      </c>
      <c r="F364" s="77"/>
      <c r="G364" s="77">
        <v>0</v>
      </c>
      <c r="H364" s="77"/>
      <c r="I364" s="77">
        <v>19232.849999999999</v>
      </c>
      <c r="J364" s="77"/>
      <c r="K364" s="77">
        <v>0</v>
      </c>
      <c r="L364" s="77"/>
      <c r="M364" s="77">
        <v>1538.58</v>
      </c>
      <c r="N364" s="77"/>
      <c r="O364" s="77">
        <v>20</v>
      </c>
      <c r="P364" s="77"/>
      <c r="Q364" s="77">
        <v>240.27</v>
      </c>
      <c r="R364" s="77"/>
      <c r="S364" s="77">
        <v>275.73</v>
      </c>
      <c r="T364" s="77"/>
      <c r="U364" s="77">
        <v>0</v>
      </c>
      <c r="V364" s="77"/>
      <c r="W364" s="77">
        <v>0</v>
      </c>
      <c r="X364" s="77"/>
      <c r="Y364" s="77">
        <v>0</v>
      </c>
      <c r="Z364" s="77"/>
      <c r="AA364" s="77">
        <v>0</v>
      </c>
      <c r="AB364" s="77"/>
      <c r="AC364" s="77">
        <v>0</v>
      </c>
      <c r="AD364" s="77"/>
      <c r="AE364" s="77">
        <v>0</v>
      </c>
      <c r="AF364" s="77"/>
      <c r="AG364" s="77">
        <v>0</v>
      </c>
      <c r="AH364" s="77"/>
      <c r="AI364" s="77">
        <f t="shared" si="15"/>
        <v>48610.01</v>
      </c>
      <c r="AJ364" s="24"/>
      <c r="AK364" s="15" t="str">
        <f>'Gen Rev'!A364</f>
        <v>Magnetic Springs</v>
      </c>
      <c r="AL364" s="15" t="str">
        <f t="shared" si="16"/>
        <v>Magnetic Springs</v>
      </c>
      <c r="AM364" s="15" t="b">
        <f t="shared" si="17"/>
        <v>1</v>
      </c>
      <c r="AN364" s="15"/>
      <c r="AO364" s="15"/>
      <c r="AP364" s="15"/>
    </row>
    <row r="365" spans="1:42" s="31" customFormat="1" ht="12" customHeight="1" x14ac:dyDescent="0.2">
      <c r="A365" s="15" t="s">
        <v>544</v>
      </c>
      <c r="B365" s="15"/>
      <c r="C365" s="15" t="s">
        <v>540</v>
      </c>
      <c r="D365" s="15"/>
      <c r="E365" s="77">
        <f>115355+48209</f>
        <v>163564</v>
      </c>
      <c r="F365" s="77"/>
      <c r="G365" s="77">
        <v>0</v>
      </c>
      <c r="H365" s="77"/>
      <c r="I365" s="77">
        <f>23805+33520+23233+28275</f>
        <v>108833</v>
      </c>
      <c r="J365" s="77"/>
      <c r="K365" s="77">
        <v>0</v>
      </c>
      <c r="L365" s="77"/>
      <c r="M365" s="77">
        <f>98474+5700</f>
        <v>104174</v>
      </c>
      <c r="N365" s="77"/>
      <c r="O365" s="77">
        <f>5536+1095+405</f>
        <v>7036</v>
      </c>
      <c r="P365" s="77"/>
      <c r="Q365" s="77">
        <f>261+6</f>
        <v>267</v>
      </c>
      <c r="R365" s="77"/>
      <c r="S365" s="77">
        <f>2396+3665</f>
        <v>6061</v>
      </c>
      <c r="T365" s="77"/>
      <c r="U365" s="77">
        <v>45000</v>
      </c>
      <c r="V365" s="77"/>
      <c r="W365" s="77">
        <v>0</v>
      </c>
      <c r="X365" s="77"/>
      <c r="Y365" s="77">
        <v>0</v>
      </c>
      <c r="Z365" s="77"/>
      <c r="AA365" s="77">
        <v>1578</v>
      </c>
      <c r="AB365" s="77"/>
      <c r="AC365" s="77">
        <v>0</v>
      </c>
      <c r="AD365" s="77"/>
      <c r="AE365" s="77">
        <v>0</v>
      </c>
      <c r="AF365" s="77"/>
      <c r="AG365" s="77">
        <v>0</v>
      </c>
      <c r="AH365" s="77"/>
      <c r="AI365" s="77">
        <f t="shared" si="15"/>
        <v>436513</v>
      </c>
      <c r="AJ365" s="24"/>
      <c r="AK365" s="15" t="str">
        <f>'Gen Rev'!A365</f>
        <v>Magnolia</v>
      </c>
      <c r="AL365" s="15" t="str">
        <f t="shared" si="16"/>
        <v>Magnolia</v>
      </c>
      <c r="AM365" s="15" t="b">
        <f t="shared" si="17"/>
        <v>1</v>
      </c>
      <c r="AN365" s="15"/>
      <c r="AO365" s="15"/>
      <c r="AP365" s="15"/>
    </row>
    <row r="366" spans="1:42" s="31" customFormat="1" ht="12" customHeight="1" x14ac:dyDescent="0.2">
      <c r="A366" s="1" t="s">
        <v>242</v>
      </c>
      <c r="B366" s="1"/>
      <c r="C366" s="1" t="s">
        <v>809</v>
      </c>
      <c r="D366" s="15"/>
      <c r="E366" s="77">
        <v>44402.73</v>
      </c>
      <c r="F366" s="77"/>
      <c r="G366" s="77">
        <v>301364.25</v>
      </c>
      <c r="H366" s="77"/>
      <c r="I366" s="77">
        <v>53273.49</v>
      </c>
      <c r="J366" s="77"/>
      <c r="K366" s="77">
        <v>316.24</v>
      </c>
      <c r="L366" s="77"/>
      <c r="M366" s="77">
        <v>74374.47</v>
      </c>
      <c r="N366" s="77"/>
      <c r="O366" s="77">
        <v>33742.93</v>
      </c>
      <c r="P366" s="77"/>
      <c r="Q366" s="77">
        <v>1746.98</v>
      </c>
      <c r="R366" s="77"/>
      <c r="S366" s="77">
        <v>2664.84</v>
      </c>
      <c r="T366" s="77"/>
      <c r="U366" s="77">
        <v>0</v>
      </c>
      <c r="V366" s="77"/>
      <c r="W366" s="77">
        <v>0</v>
      </c>
      <c r="X366" s="77"/>
      <c r="Y366" s="77">
        <v>0</v>
      </c>
      <c r="Z366" s="77"/>
      <c r="AA366" s="77">
        <v>0</v>
      </c>
      <c r="AB366" s="77"/>
      <c r="AC366" s="77">
        <v>0</v>
      </c>
      <c r="AD366" s="77"/>
      <c r="AE366" s="77">
        <v>0</v>
      </c>
      <c r="AF366" s="77"/>
      <c r="AG366" s="77">
        <v>0</v>
      </c>
      <c r="AH366" s="77"/>
      <c r="AI366" s="77">
        <f t="shared" si="15"/>
        <v>511885.92999999993</v>
      </c>
      <c r="AJ366" s="24"/>
      <c r="AK366" s="15" t="str">
        <f>'Gen Rev'!A366</f>
        <v>Maineville</v>
      </c>
      <c r="AL366" s="15" t="str">
        <f t="shared" si="16"/>
        <v>Maineville</v>
      </c>
      <c r="AM366" s="15" t="b">
        <f t="shared" si="17"/>
        <v>1</v>
      </c>
      <c r="AN366" s="15"/>
      <c r="AO366" s="15"/>
      <c r="AP366" s="15"/>
    </row>
    <row r="367" spans="1:42" ht="12" customHeight="1" x14ac:dyDescent="0.2">
      <c r="A367" s="1" t="s">
        <v>107</v>
      </c>
      <c r="B367" s="1"/>
      <c r="C367" s="1" t="s">
        <v>766</v>
      </c>
      <c r="E367" s="77">
        <v>8648.18</v>
      </c>
      <c r="F367" s="77"/>
      <c r="G367" s="77">
        <v>52042.99</v>
      </c>
      <c r="H367" s="77"/>
      <c r="I367" s="77">
        <v>70549.19</v>
      </c>
      <c r="J367" s="77"/>
      <c r="K367" s="77">
        <v>0</v>
      </c>
      <c r="L367" s="77"/>
      <c r="M367" s="77">
        <v>417.8</v>
      </c>
      <c r="N367" s="77"/>
      <c r="O367" s="77">
        <v>248.57</v>
      </c>
      <c r="P367" s="77"/>
      <c r="Q367" s="77">
        <v>1228.52</v>
      </c>
      <c r="R367" s="77"/>
      <c r="S367" s="77">
        <v>615.79999999999995</v>
      </c>
      <c r="T367" s="77"/>
      <c r="U367" s="77">
        <v>0</v>
      </c>
      <c r="V367" s="77"/>
      <c r="W367" s="77">
        <v>0</v>
      </c>
      <c r="X367" s="77"/>
      <c r="Y367" s="77">
        <v>0</v>
      </c>
      <c r="Z367" s="77"/>
      <c r="AA367" s="77">
        <v>81000</v>
      </c>
      <c r="AB367" s="77"/>
      <c r="AC367" s="77">
        <v>0</v>
      </c>
      <c r="AD367" s="77"/>
      <c r="AE367" s="77">
        <v>523.97</v>
      </c>
      <c r="AF367" s="77"/>
      <c r="AG367" s="77">
        <v>0</v>
      </c>
      <c r="AH367" s="77"/>
      <c r="AI367" s="77">
        <f t="shared" si="15"/>
        <v>215275.01999999996</v>
      </c>
      <c r="AJ367" s="24"/>
      <c r="AK367" s="15" t="str">
        <f>'Gen Rev'!A367</f>
        <v>Malinta</v>
      </c>
      <c r="AL367" s="15" t="str">
        <f t="shared" si="16"/>
        <v>Malinta</v>
      </c>
      <c r="AM367" s="15" t="b">
        <f t="shared" si="17"/>
        <v>1</v>
      </c>
    </row>
    <row r="368" spans="1:42" ht="12" customHeight="1" x14ac:dyDescent="0.2">
      <c r="A368" s="1" t="s">
        <v>928</v>
      </c>
      <c r="B368" s="1"/>
      <c r="C368" s="1" t="s">
        <v>882</v>
      </c>
      <c r="E368" s="77">
        <v>21430.799999999999</v>
      </c>
      <c r="F368" s="77"/>
      <c r="G368" s="77">
        <v>105186.96</v>
      </c>
      <c r="H368" s="77"/>
      <c r="I368" s="77">
        <v>82489.63</v>
      </c>
      <c r="J368" s="77"/>
      <c r="K368" s="77">
        <v>0</v>
      </c>
      <c r="L368" s="77"/>
      <c r="M368" s="77">
        <v>0</v>
      </c>
      <c r="N368" s="77"/>
      <c r="O368" s="77">
        <v>9325.33</v>
      </c>
      <c r="P368" s="77"/>
      <c r="Q368" s="77">
        <v>807.46</v>
      </c>
      <c r="R368" s="77"/>
      <c r="S368" s="77">
        <v>2387.12</v>
      </c>
      <c r="T368" s="77"/>
      <c r="U368" s="77">
        <v>0</v>
      </c>
      <c r="V368" s="77"/>
      <c r="W368" s="77">
        <v>0</v>
      </c>
      <c r="X368" s="77"/>
      <c r="Y368" s="77">
        <v>0</v>
      </c>
      <c r="Z368" s="77"/>
      <c r="AA368" s="77">
        <v>0</v>
      </c>
      <c r="AB368" s="77"/>
      <c r="AC368" s="77">
        <v>0</v>
      </c>
      <c r="AD368" s="77"/>
      <c r="AE368" s="77">
        <v>0</v>
      </c>
      <c r="AF368" s="77"/>
      <c r="AG368" s="77">
        <v>0</v>
      </c>
      <c r="AH368" s="77"/>
      <c r="AI368" s="77">
        <f t="shared" si="15"/>
        <v>221627.3</v>
      </c>
      <c r="AJ368" s="24"/>
      <c r="AK368" s="15" t="str">
        <f>'Gen Rev'!A368</f>
        <v>Malta</v>
      </c>
      <c r="AL368" s="15" t="str">
        <f t="shared" si="16"/>
        <v>Malta</v>
      </c>
      <c r="AM368" s="15" t="b">
        <f t="shared" si="17"/>
        <v>1</v>
      </c>
    </row>
    <row r="369" spans="1:42" ht="12" customHeight="1" x14ac:dyDescent="0.2">
      <c r="A369" s="1" t="s">
        <v>30</v>
      </c>
      <c r="B369" s="1"/>
      <c r="C369" s="1" t="s">
        <v>744</v>
      </c>
      <c r="D369" s="24"/>
      <c r="E369" s="77">
        <v>46160.42</v>
      </c>
      <c r="F369" s="77"/>
      <c r="G369" s="77">
        <v>172048.41</v>
      </c>
      <c r="H369" s="77"/>
      <c r="I369" s="77">
        <v>110188.34</v>
      </c>
      <c r="J369" s="77"/>
      <c r="K369" s="77">
        <v>0</v>
      </c>
      <c r="L369" s="77"/>
      <c r="M369" s="77">
        <v>8748.7000000000007</v>
      </c>
      <c r="N369" s="77"/>
      <c r="O369" s="77">
        <v>10667.81</v>
      </c>
      <c r="P369" s="77"/>
      <c r="Q369" s="77">
        <v>43.21</v>
      </c>
      <c r="R369" s="77"/>
      <c r="S369" s="77">
        <v>13934.11</v>
      </c>
      <c r="T369" s="77"/>
      <c r="U369" s="77">
        <v>0</v>
      </c>
      <c r="V369" s="77"/>
      <c r="W369" s="77">
        <v>0</v>
      </c>
      <c r="X369" s="77"/>
      <c r="Y369" s="77">
        <v>0</v>
      </c>
      <c r="Z369" s="77"/>
      <c r="AA369" s="77">
        <v>61200</v>
      </c>
      <c r="AB369" s="77"/>
      <c r="AC369" s="77">
        <v>0</v>
      </c>
      <c r="AD369" s="77"/>
      <c r="AE369" s="77">
        <v>0</v>
      </c>
      <c r="AF369" s="77"/>
      <c r="AG369" s="77">
        <v>0</v>
      </c>
      <c r="AH369" s="77"/>
      <c r="AI369" s="77">
        <f t="shared" si="15"/>
        <v>422991.00000000006</v>
      </c>
      <c r="AJ369" s="24"/>
      <c r="AK369" s="15" t="str">
        <f>'Gen Rev'!A369</f>
        <v>Malvern</v>
      </c>
      <c r="AL369" s="15" t="str">
        <f t="shared" si="16"/>
        <v>Malvern</v>
      </c>
      <c r="AM369" s="15" t="b">
        <f t="shared" si="17"/>
        <v>1</v>
      </c>
      <c r="AN369" s="29"/>
      <c r="AO369" s="29"/>
      <c r="AP369" s="29"/>
    </row>
    <row r="370" spans="1:42" ht="12" customHeight="1" x14ac:dyDescent="0.2">
      <c r="A370" s="1" t="s">
        <v>913</v>
      </c>
      <c r="B370" s="1"/>
      <c r="C370" s="1" t="s">
        <v>659</v>
      </c>
      <c r="E370" s="77">
        <v>144318.42000000001</v>
      </c>
      <c r="F370" s="77"/>
      <c r="G370" s="77">
        <v>148518.98000000001</v>
      </c>
      <c r="H370" s="77"/>
      <c r="I370" s="77">
        <v>323970.51</v>
      </c>
      <c r="J370" s="77"/>
      <c r="K370" s="77">
        <v>0</v>
      </c>
      <c r="L370" s="77"/>
      <c r="M370" s="77">
        <v>83772.639999999999</v>
      </c>
      <c r="N370" s="77"/>
      <c r="O370" s="77">
        <v>35980.730000000003</v>
      </c>
      <c r="P370" s="77"/>
      <c r="Q370" s="77">
        <v>272.45</v>
      </c>
      <c r="R370" s="77"/>
      <c r="S370" s="77">
        <v>14338.29</v>
      </c>
      <c r="T370" s="77"/>
      <c r="U370" s="77">
        <v>0</v>
      </c>
      <c r="V370" s="77"/>
      <c r="W370" s="77">
        <v>0</v>
      </c>
      <c r="X370" s="77"/>
      <c r="Y370" s="77">
        <v>0</v>
      </c>
      <c r="Z370" s="77"/>
      <c r="AA370" s="77">
        <v>124757.87</v>
      </c>
      <c r="AB370" s="77"/>
      <c r="AC370" s="77">
        <v>0</v>
      </c>
      <c r="AD370" s="77"/>
      <c r="AE370" s="77">
        <v>0</v>
      </c>
      <c r="AF370" s="77"/>
      <c r="AG370" s="77">
        <v>0</v>
      </c>
      <c r="AH370" s="77"/>
      <c r="AI370" s="77">
        <f t="shared" si="15"/>
        <v>875929.89</v>
      </c>
      <c r="AJ370" s="24"/>
      <c r="AK370" s="15" t="str">
        <f>'Gen Rev'!A370</f>
        <v>Manchester</v>
      </c>
      <c r="AL370" s="15" t="str">
        <f t="shared" si="16"/>
        <v>Manchester</v>
      </c>
      <c r="AM370" s="15" t="b">
        <f t="shared" si="17"/>
        <v>1</v>
      </c>
      <c r="AN370" s="31"/>
      <c r="AO370" s="31"/>
      <c r="AP370" s="31"/>
    </row>
    <row r="371" spans="1:42" ht="12" customHeight="1" x14ac:dyDescent="0.2">
      <c r="A371" s="1" t="s">
        <v>195</v>
      </c>
      <c r="B371" s="1"/>
      <c r="C371" s="1" t="s">
        <v>795</v>
      </c>
      <c r="E371" s="77">
        <v>74151.570000000007</v>
      </c>
      <c r="F371" s="77"/>
      <c r="G371" s="77">
        <v>505680.35</v>
      </c>
      <c r="H371" s="77"/>
      <c r="I371" s="77">
        <v>208230.19</v>
      </c>
      <c r="J371" s="77"/>
      <c r="K371" s="77">
        <v>0</v>
      </c>
      <c r="L371" s="77"/>
      <c r="M371" s="77">
        <v>113992.68</v>
      </c>
      <c r="N371" s="77"/>
      <c r="O371" s="77">
        <v>29681.94</v>
      </c>
      <c r="P371" s="77"/>
      <c r="Q371" s="77">
        <v>2281.8200000000002</v>
      </c>
      <c r="R371" s="77"/>
      <c r="S371" s="77">
        <v>47147.73</v>
      </c>
      <c r="T371" s="77"/>
      <c r="U371" s="77">
        <v>0</v>
      </c>
      <c r="V371" s="77"/>
      <c r="W371" s="77">
        <v>0</v>
      </c>
      <c r="X371" s="77"/>
      <c r="Y371" s="77">
        <v>0</v>
      </c>
      <c r="Z371" s="77"/>
      <c r="AA371" s="77">
        <v>0</v>
      </c>
      <c r="AB371" s="77"/>
      <c r="AC371" s="77">
        <v>18009.259999999998</v>
      </c>
      <c r="AD371" s="77"/>
      <c r="AE371" s="77">
        <v>87646.16</v>
      </c>
      <c r="AF371" s="77"/>
      <c r="AG371" s="77">
        <v>1256</v>
      </c>
      <c r="AH371" s="77"/>
      <c r="AI371" s="77">
        <f t="shared" si="15"/>
        <v>1088077.6999999997</v>
      </c>
      <c r="AJ371" s="24"/>
      <c r="AK371" s="15" t="str">
        <f>'Gen Rev'!A371</f>
        <v>Mantua</v>
      </c>
      <c r="AL371" s="15" t="str">
        <f t="shared" si="16"/>
        <v>Mantua</v>
      </c>
      <c r="AM371" s="15" t="b">
        <f t="shared" si="17"/>
        <v>1</v>
      </c>
      <c r="AN371" s="31"/>
      <c r="AO371" s="31"/>
      <c r="AP371" s="31"/>
    </row>
    <row r="372" spans="1:42" ht="12" customHeight="1" x14ac:dyDescent="0.2">
      <c r="A372" s="1" t="s">
        <v>73</v>
      </c>
      <c r="B372" s="1"/>
      <c r="C372" s="1" t="s">
        <v>758</v>
      </c>
      <c r="E372" s="77">
        <v>46834.62</v>
      </c>
      <c r="F372" s="77"/>
      <c r="G372" s="77">
        <v>971488.9</v>
      </c>
      <c r="H372" s="77"/>
      <c r="I372" s="77">
        <v>997628.36</v>
      </c>
      <c r="J372" s="77"/>
      <c r="K372" s="77">
        <v>0</v>
      </c>
      <c r="L372" s="77"/>
      <c r="M372" s="77">
        <v>0</v>
      </c>
      <c r="N372" s="77"/>
      <c r="O372" s="77">
        <v>57458.42</v>
      </c>
      <c r="P372" s="77"/>
      <c r="Q372" s="77">
        <v>7642.23</v>
      </c>
      <c r="R372" s="77"/>
      <c r="S372" s="77">
        <v>11139.19</v>
      </c>
      <c r="T372" s="77"/>
      <c r="U372" s="77">
        <v>0</v>
      </c>
      <c r="V372" s="77"/>
      <c r="W372" s="77">
        <v>0</v>
      </c>
      <c r="X372" s="77"/>
      <c r="Y372" s="77">
        <v>0</v>
      </c>
      <c r="Z372" s="77"/>
      <c r="AA372" s="77">
        <v>178866.17</v>
      </c>
      <c r="AB372" s="77"/>
      <c r="AC372" s="77">
        <v>0</v>
      </c>
      <c r="AD372" s="77"/>
      <c r="AE372" s="77">
        <v>0</v>
      </c>
      <c r="AF372" s="77"/>
      <c r="AG372" s="77">
        <v>0</v>
      </c>
      <c r="AH372" s="77"/>
      <c r="AI372" s="77">
        <f t="shared" si="15"/>
        <v>2271057.8899999997</v>
      </c>
      <c r="AJ372" s="24"/>
      <c r="AK372" s="15" t="str">
        <f>'Gen Rev'!A372</f>
        <v>Marble Cliff</v>
      </c>
      <c r="AL372" s="15" t="str">
        <f t="shared" si="16"/>
        <v>Marble Cliff</v>
      </c>
      <c r="AM372" s="15" t="b">
        <f t="shared" si="17"/>
        <v>1</v>
      </c>
    </row>
    <row r="373" spans="1:42" ht="12" customHeight="1" x14ac:dyDescent="0.2">
      <c r="A373" s="1" t="s">
        <v>828</v>
      </c>
      <c r="B373" s="1"/>
      <c r="C373" s="1" t="s">
        <v>791</v>
      </c>
      <c r="E373" s="77">
        <v>380369.38</v>
      </c>
      <c r="F373" s="77"/>
      <c r="G373" s="77">
        <v>0</v>
      </c>
      <c r="H373" s="77"/>
      <c r="I373" s="77">
        <v>281252.58</v>
      </c>
      <c r="J373" s="77"/>
      <c r="K373" s="77">
        <v>22103.48</v>
      </c>
      <c r="L373" s="77"/>
      <c r="M373" s="77">
        <v>230000</v>
      </c>
      <c r="N373" s="77"/>
      <c r="O373" s="77">
        <v>23282.43</v>
      </c>
      <c r="P373" s="77"/>
      <c r="Q373" s="77">
        <v>1792.38</v>
      </c>
      <c r="R373" s="77"/>
      <c r="S373" s="77">
        <v>75409.47</v>
      </c>
      <c r="T373" s="77"/>
      <c r="U373" s="77">
        <v>0</v>
      </c>
      <c r="V373" s="77"/>
      <c r="W373" s="77">
        <v>0</v>
      </c>
      <c r="X373" s="77"/>
      <c r="Y373" s="77">
        <v>0</v>
      </c>
      <c r="Z373" s="77"/>
      <c r="AA373" s="77">
        <v>0</v>
      </c>
      <c r="AB373" s="77"/>
      <c r="AC373" s="77">
        <v>10480</v>
      </c>
      <c r="AD373" s="77"/>
      <c r="AE373" s="77">
        <v>760</v>
      </c>
      <c r="AF373" s="77"/>
      <c r="AG373" s="77">
        <v>0</v>
      </c>
      <c r="AH373" s="77"/>
      <c r="AI373" s="77">
        <f t="shared" si="15"/>
        <v>1025449.72</v>
      </c>
      <c r="AJ373" s="24"/>
      <c r="AK373" s="15" t="str">
        <f>'Gen Rev'!A373</f>
        <v>Marblehead</v>
      </c>
      <c r="AL373" s="15" t="str">
        <f t="shared" si="16"/>
        <v>Marblehead</v>
      </c>
      <c r="AM373" s="15" t="b">
        <f t="shared" si="17"/>
        <v>1</v>
      </c>
    </row>
    <row r="374" spans="1:42" ht="12" customHeight="1" x14ac:dyDescent="0.2">
      <c r="A374" s="1" t="s">
        <v>173</v>
      </c>
      <c r="B374" s="1"/>
      <c r="C374" s="1" t="s">
        <v>243</v>
      </c>
      <c r="E374" s="77">
        <v>5107.3500000000004</v>
      </c>
      <c r="F374" s="77"/>
      <c r="G374" s="77">
        <v>0</v>
      </c>
      <c r="H374" s="77"/>
      <c r="I374" s="77">
        <v>32572.48</v>
      </c>
      <c r="J374" s="77"/>
      <c r="K374" s="77">
        <v>0</v>
      </c>
      <c r="L374" s="77"/>
      <c r="M374" s="77">
        <v>0</v>
      </c>
      <c r="N374" s="77"/>
      <c r="O374" s="77">
        <v>1760.2</v>
      </c>
      <c r="P374" s="77"/>
      <c r="Q374" s="77">
        <v>103.55</v>
      </c>
      <c r="R374" s="77"/>
      <c r="S374" s="77">
        <v>0</v>
      </c>
      <c r="T374" s="77"/>
      <c r="U374" s="77">
        <v>0</v>
      </c>
      <c r="V374" s="77"/>
      <c r="W374" s="77">
        <v>0</v>
      </c>
      <c r="X374" s="77"/>
      <c r="Y374" s="77">
        <v>0</v>
      </c>
      <c r="Z374" s="77"/>
      <c r="AA374" s="77">
        <v>0</v>
      </c>
      <c r="AB374" s="77"/>
      <c r="AC374" s="77">
        <v>0</v>
      </c>
      <c r="AD374" s="77"/>
      <c r="AE374" s="77">
        <v>230</v>
      </c>
      <c r="AF374" s="77"/>
      <c r="AG374" s="77">
        <v>0</v>
      </c>
      <c r="AH374" s="77"/>
      <c r="AI374" s="77">
        <f t="shared" si="15"/>
        <v>39773.58</v>
      </c>
      <c r="AJ374" s="24"/>
      <c r="AK374" s="15" t="str">
        <f>'Gen Rev'!A374</f>
        <v>Marengo</v>
      </c>
      <c r="AL374" s="15" t="str">
        <f t="shared" si="16"/>
        <v>Marengo</v>
      </c>
      <c r="AM374" s="15" t="b">
        <f t="shared" si="17"/>
        <v>1</v>
      </c>
      <c r="AN374" s="31"/>
      <c r="AO374" s="31"/>
      <c r="AP374" s="31"/>
    </row>
    <row r="375" spans="1:42" ht="12" customHeight="1" x14ac:dyDescent="0.2">
      <c r="A375" s="15" t="s">
        <v>384</v>
      </c>
      <c r="C375" s="15" t="s">
        <v>378</v>
      </c>
      <c r="E375" s="77">
        <v>921230</v>
      </c>
      <c r="F375" s="77"/>
      <c r="G375" s="77">
        <v>2024982</v>
      </c>
      <c r="H375" s="77"/>
      <c r="I375" s="77">
        <v>452151</v>
      </c>
      <c r="J375" s="77"/>
      <c r="K375" s="77">
        <v>0</v>
      </c>
      <c r="L375" s="77"/>
      <c r="M375" s="77">
        <v>378445</v>
      </c>
      <c r="N375" s="77"/>
      <c r="O375" s="77">
        <v>263622</v>
      </c>
      <c r="P375" s="77"/>
      <c r="Q375" s="77">
        <v>1767</v>
      </c>
      <c r="R375" s="77"/>
      <c r="S375" s="77">
        <v>111723</v>
      </c>
      <c r="T375" s="77"/>
      <c r="U375" s="77">
        <v>0</v>
      </c>
      <c r="V375" s="77"/>
      <c r="W375" s="77">
        <v>0</v>
      </c>
      <c r="X375" s="77"/>
      <c r="Y375" s="77">
        <v>0</v>
      </c>
      <c r="Z375" s="77"/>
      <c r="AA375" s="77">
        <v>0</v>
      </c>
      <c r="AB375" s="77"/>
      <c r="AC375" s="77">
        <v>0</v>
      </c>
      <c r="AD375" s="77"/>
      <c r="AE375" s="77">
        <v>0</v>
      </c>
      <c r="AF375" s="77"/>
      <c r="AG375" s="77">
        <v>0</v>
      </c>
      <c r="AH375" s="77"/>
      <c r="AI375" s="77">
        <f t="shared" si="15"/>
        <v>4153920</v>
      </c>
      <c r="AJ375" s="24"/>
      <c r="AK375" s="15" t="str">
        <f>'Gen Rev'!A375</f>
        <v>Mariemont</v>
      </c>
      <c r="AL375" s="15" t="str">
        <f t="shared" si="16"/>
        <v>Mariemont</v>
      </c>
      <c r="AM375" s="15" t="b">
        <f t="shared" si="17"/>
        <v>1</v>
      </c>
      <c r="AN375" s="31"/>
      <c r="AO375" s="31"/>
      <c r="AP375" s="31"/>
    </row>
    <row r="376" spans="1:42" s="31" customFormat="1" ht="12" hidden="1" customHeight="1" x14ac:dyDescent="0.2">
      <c r="A376" s="1" t="s">
        <v>586</v>
      </c>
      <c r="B376" s="1"/>
      <c r="C376" s="1" t="s">
        <v>810</v>
      </c>
      <c r="D376" s="15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>
        <f t="shared" si="15"/>
        <v>0</v>
      </c>
      <c r="AJ376" s="24"/>
      <c r="AK376" s="15" t="str">
        <f>'Gen Rev'!A376</f>
        <v>Marksburg</v>
      </c>
      <c r="AL376" s="15" t="str">
        <f t="shared" si="16"/>
        <v>Marksburg</v>
      </c>
      <c r="AM376" s="15" t="b">
        <f t="shared" si="17"/>
        <v>1</v>
      </c>
    </row>
    <row r="377" spans="1:42" s="31" customFormat="1" ht="12" customHeight="1" x14ac:dyDescent="0.2">
      <c r="A377" s="15" t="s">
        <v>964</v>
      </c>
      <c r="B377" s="15"/>
      <c r="C377" s="15" t="s">
        <v>609</v>
      </c>
      <c r="D377" s="15"/>
      <c r="E377" s="77">
        <f>2778</f>
        <v>2778</v>
      </c>
      <c r="F377" s="77"/>
      <c r="G377" s="77">
        <v>0</v>
      </c>
      <c r="H377" s="77"/>
      <c r="I377" s="77">
        <f>38+349+349+549+928+1289+2506+573+105+203+6+46</f>
        <v>6941</v>
      </c>
      <c r="J377" s="77"/>
      <c r="K377" s="77">
        <v>0</v>
      </c>
      <c r="L377" s="77"/>
      <c r="M377" s="77">
        <v>4132</v>
      </c>
      <c r="N377" s="77"/>
      <c r="O377" s="77">
        <v>0</v>
      </c>
      <c r="P377" s="77"/>
      <c r="Q377" s="77">
        <v>8</v>
      </c>
      <c r="R377" s="77"/>
      <c r="S377" s="77">
        <f>75+36+100</f>
        <v>211</v>
      </c>
      <c r="T377" s="77"/>
      <c r="U377" s="77">
        <v>0</v>
      </c>
      <c r="V377" s="77"/>
      <c r="W377" s="77">
        <v>0</v>
      </c>
      <c r="X377" s="77"/>
      <c r="Y377" s="77">
        <v>0</v>
      </c>
      <c r="Z377" s="77"/>
      <c r="AA377" s="77">
        <v>0</v>
      </c>
      <c r="AB377" s="77"/>
      <c r="AC377" s="77">
        <v>0</v>
      </c>
      <c r="AD377" s="77"/>
      <c r="AE377" s="77">
        <v>0</v>
      </c>
      <c r="AF377" s="77"/>
      <c r="AG377" s="77">
        <v>0</v>
      </c>
      <c r="AH377" s="77"/>
      <c r="AI377" s="77">
        <f t="shared" si="15"/>
        <v>14070</v>
      </c>
      <c r="AJ377" s="24"/>
      <c r="AK377" s="15" t="str">
        <f>'Gen Rev'!A377</f>
        <v>Marseilles</v>
      </c>
      <c r="AL377" s="15" t="str">
        <f t="shared" si="16"/>
        <v>Marseilles</v>
      </c>
      <c r="AM377" s="15" t="b">
        <f t="shared" si="17"/>
        <v>1</v>
      </c>
      <c r="AN377" s="15"/>
      <c r="AO377" s="15"/>
      <c r="AP377" s="15"/>
    </row>
    <row r="378" spans="1:42" s="31" customFormat="1" ht="12" customHeight="1" x14ac:dyDescent="0.2">
      <c r="A378" s="15" t="s">
        <v>680</v>
      </c>
      <c r="B378" s="15"/>
      <c r="C378" s="15" t="s">
        <v>588</v>
      </c>
      <c r="D378" s="15"/>
      <c r="E378" s="77">
        <v>30247</v>
      </c>
      <c r="F378" s="77"/>
      <c r="G378" s="77">
        <v>57422</v>
      </c>
      <c r="H378" s="77"/>
      <c r="I378" s="77">
        <v>64800</v>
      </c>
      <c r="J378" s="77"/>
      <c r="K378" s="77">
        <v>0</v>
      </c>
      <c r="L378" s="77"/>
      <c r="M378" s="77">
        <v>64913</v>
      </c>
      <c r="N378" s="77"/>
      <c r="O378" s="77">
        <v>27117</v>
      </c>
      <c r="P378" s="77"/>
      <c r="Q378" s="77">
        <v>928</v>
      </c>
      <c r="R378" s="77"/>
      <c r="S378" s="77">
        <v>3747</v>
      </c>
      <c r="T378" s="77"/>
      <c r="U378" s="77">
        <v>0</v>
      </c>
      <c r="V378" s="77"/>
      <c r="W378" s="77">
        <v>0</v>
      </c>
      <c r="X378" s="77"/>
      <c r="Y378" s="77">
        <v>0</v>
      </c>
      <c r="Z378" s="77"/>
      <c r="AA378" s="77">
        <v>78137</v>
      </c>
      <c r="AB378" s="77"/>
      <c r="AC378" s="77">
        <v>0</v>
      </c>
      <c r="AD378" s="77"/>
      <c r="AE378" s="77">
        <v>0</v>
      </c>
      <c r="AF378" s="77"/>
      <c r="AG378" s="77">
        <v>0</v>
      </c>
      <c r="AH378" s="77"/>
      <c r="AI378" s="77">
        <f t="shared" si="15"/>
        <v>327311</v>
      </c>
      <c r="AJ378" s="24"/>
      <c r="AK378" s="15" t="str">
        <f>'Gen Rev'!A378</f>
        <v>Marshallville</v>
      </c>
      <c r="AL378" s="15" t="str">
        <f t="shared" si="16"/>
        <v>Marshallville</v>
      </c>
      <c r="AM378" s="15" t="b">
        <f t="shared" si="17"/>
        <v>1</v>
      </c>
      <c r="AN378" s="15"/>
      <c r="AO378" s="15"/>
      <c r="AP378" s="15"/>
    </row>
    <row r="379" spans="1:42" ht="12" customHeight="1" x14ac:dyDescent="0.2">
      <c r="A379" s="1" t="s">
        <v>123</v>
      </c>
      <c r="B379" s="1"/>
      <c r="C379" s="1" t="s">
        <v>771</v>
      </c>
      <c r="E379" s="77">
        <v>11162.44</v>
      </c>
      <c r="F379" s="77"/>
      <c r="G379" s="77">
        <v>0</v>
      </c>
      <c r="H379" s="77"/>
      <c r="I379" s="77">
        <v>14919.34</v>
      </c>
      <c r="J379" s="77"/>
      <c r="K379" s="77">
        <v>0</v>
      </c>
      <c r="L379" s="77"/>
      <c r="M379" s="77">
        <v>0</v>
      </c>
      <c r="N379" s="77"/>
      <c r="O379" s="77">
        <v>0</v>
      </c>
      <c r="P379" s="77"/>
      <c r="Q379" s="77">
        <v>28.54</v>
      </c>
      <c r="R379" s="77"/>
      <c r="S379" s="77">
        <v>0</v>
      </c>
      <c r="T379" s="77"/>
      <c r="U379" s="77">
        <v>0</v>
      </c>
      <c r="V379" s="77"/>
      <c r="W379" s="77">
        <v>0</v>
      </c>
      <c r="X379" s="77"/>
      <c r="Y379" s="77">
        <v>0</v>
      </c>
      <c r="Z379" s="77"/>
      <c r="AA379" s="77">
        <v>0</v>
      </c>
      <c r="AB379" s="77"/>
      <c r="AC379" s="77">
        <v>0</v>
      </c>
      <c r="AD379" s="77"/>
      <c r="AE379" s="77">
        <v>0</v>
      </c>
      <c r="AF379" s="77"/>
      <c r="AG379" s="77">
        <v>0</v>
      </c>
      <c r="AH379" s="77"/>
      <c r="AI379" s="77">
        <f t="shared" si="15"/>
        <v>26110.32</v>
      </c>
      <c r="AJ379" s="37"/>
      <c r="AK379" s="15" t="str">
        <f>'Gen Rev'!A379</f>
        <v>Martinsburg</v>
      </c>
      <c r="AL379" s="15" t="str">
        <f t="shared" si="16"/>
        <v>Martinsburg</v>
      </c>
      <c r="AM379" s="15" t="b">
        <f t="shared" si="17"/>
        <v>1</v>
      </c>
      <c r="AN379" s="31"/>
      <c r="AO379" s="31"/>
      <c r="AP379" s="31"/>
    </row>
    <row r="380" spans="1:42" s="24" customFormat="1" ht="12" customHeight="1" x14ac:dyDescent="0.2">
      <c r="A380" s="1" t="s">
        <v>301</v>
      </c>
      <c r="B380" s="1"/>
      <c r="C380" s="1" t="s">
        <v>299</v>
      </c>
      <c r="D380" s="15"/>
      <c r="E380" s="77">
        <v>12815.88</v>
      </c>
      <c r="F380" s="77"/>
      <c r="G380" s="77">
        <v>0</v>
      </c>
      <c r="H380" s="77"/>
      <c r="I380" s="77">
        <v>28077.82</v>
      </c>
      <c r="J380" s="77"/>
      <c r="K380" s="77">
        <v>7493.39</v>
      </c>
      <c r="L380" s="77"/>
      <c r="M380" s="77">
        <v>0</v>
      </c>
      <c r="N380" s="77"/>
      <c r="O380" s="77">
        <v>0</v>
      </c>
      <c r="P380" s="77"/>
      <c r="Q380" s="77">
        <v>19.989999999999998</v>
      </c>
      <c r="R380" s="77"/>
      <c r="S380" s="77">
        <v>1982.27</v>
      </c>
      <c r="T380" s="77"/>
      <c r="U380" s="77">
        <v>0</v>
      </c>
      <c r="V380" s="77"/>
      <c r="W380" s="77">
        <v>0</v>
      </c>
      <c r="X380" s="77"/>
      <c r="Y380" s="77">
        <v>0</v>
      </c>
      <c r="Z380" s="77"/>
      <c r="AA380" s="77">
        <v>0</v>
      </c>
      <c r="AB380" s="77"/>
      <c r="AC380" s="77">
        <v>0</v>
      </c>
      <c r="AD380" s="77"/>
      <c r="AE380" s="77">
        <v>0</v>
      </c>
      <c r="AF380" s="77"/>
      <c r="AG380" s="77">
        <v>0</v>
      </c>
      <c r="AH380" s="77"/>
      <c r="AI380" s="77">
        <f t="shared" si="15"/>
        <v>50389.349999999991</v>
      </c>
      <c r="AK380" s="15" t="str">
        <f>'Gen Rev'!A380</f>
        <v>Martinsville</v>
      </c>
      <c r="AL380" s="15" t="str">
        <f t="shared" si="16"/>
        <v>Martinsville</v>
      </c>
      <c r="AM380" s="15" t="b">
        <f t="shared" si="17"/>
        <v>1</v>
      </c>
      <c r="AN380" s="15"/>
      <c r="AO380" s="15"/>
      <c r="AP380" s="15"/>
    </row>
    <row r="381" spans="1:42" ht="12" customHeight="1" x14ac:dyDescent="0.2">
      <c r="A381" s="1" t="s">
        <v>247</v>
      </c>
      <c r="B381" s="1"/>
      <c r="C381" s="1" t="s">
        <v>810</v>
      </c>
      <c r="E381" s="77">
        <v>27616.22</v>
      </c>
      <c r="F381" s="77"/>
      <c r="G381" s="77">
        <v>0</v>
      </c>
      <c r="H381" s="77"/>
      <c r="I381" s="77">
        <v>57750.18</v>
      </c>
      <c r="J381" s="77"/>
      <c r="K381" s="77">
        <v>2230</v>
      </c>
      <c r="L381" s="77"/>
      <c r="M381" s="77">
        <v>0</v>
      </c>
      <c r="N381" s="77"/>
      <c r="O381" s="77">
        <v>25395.29</v>
      </c>
      <c r="P381" s="77"/>
      <c r="Q381" s="77">
        <v>673.56</v>
      </c>
      <c r="R381" s="77"/>
      <c r="S381" s="77">
        <v>16709.59</v>
      </c>
      <c r="T381" s="77"/>
      <c r="U381" s="77">
        <v>0</v>
      </c>
      <c r="V381" s="77"/>
      <c r="W381" s="77">
        <v>0</v>
      </c>
      <c r="X381" s="77"/>
      <c r="Y381" s="77">
        <v>0</v>
      </c>
      <c r="Z381" s="77"/>
      <c r="AA381" s="77">
        <v>0</v>
      </c>
      <c r="AB381" s="77"/>
      <c r="AC381" s="77">
        <v>0</v>
      </c>
      <c r="AD381" s="77"/>
      <c r="AE381" s="77">
        <v>0</v>
      </c>
      <c r="AF381" s="77"/>
      <c r="AG381" s="77">
        <v>0</v>
      </c>
      <c r="AH381" s="77"/>
      <c r="AI381" s="77">
        <f t="shared" si="15"/>
        <v>130374.84</v>
      </c>
      <c r="AJ381" s="24"/>
      <c r="AK381" s="15" t="str">
        <f>'Gen Rev'!A381</f>
        <v>Matamoras</v>
      </c>
      <c r="AL381" s="15" t="str">
        <f t="shared" si="16"/>
        <v>Matamoras</v>
      </c>
      <c r="AM381" s="15" t="b">
        <f t="shared" si="17"/>
        <v>1</v>
      </c>
      <c r="AN381" s="31"/>
      <c r="AO381" s="31"/>
      <c r="AP381" s="31"/>
    </row>
    <row r="382" spans="1:42" ht="12" customHeight="1" x14ac:dyDescent="0.2">
      <c r="A382" s="15" t="s">
        <v>322</v>
      </c>
      <c r="C382" s="15" t="s">
        <v>316</v>
      </c>
      <c r="E382" s="77">
        <f>705414+223615+986484+58765</f>
        <v>1974278</v>
      </c>
      <c r="F382" s="77"/>
      <c r="G382" s="77">
        <v>15246801</v>
      </c>
      <c r="H382" s="77"/>
      <c r="I382" s="77">
        <v>1357219</v>
      </c>
      <c r="J382" s="77"/>
      <c r="K382" s="77">
        <v>246945</v>
      </c>
      <c r="L382" s="77"/>
      <c r="M382" s="77">
        <f>859774+204095</f>
        <v>1063869</v>
      </c>
      <c r="N382" s="77"/>
      <c r="O382" s="77">
        <f>117401+159724</f>
        <v>277125</v>
      </c>
      <c r="P382" s="77"/>
      <c r="Q382" s="77">
        <f>13846+7399</f>
        <v>21245</v>
      </c>
      <c r="R382" s="77"/>
      <c r="S382" s="77">
        <f>4100+143547</f>
        <v>147647</v>
      </c>
      <c r="T382" s="77"/>
      <c r="U382" s="77">
        <v>0</v>
      </c>
      <c r="V382" s="77"/>
      <c r="W382" s="77">
        <v>2400000</v>
      </c>
      <c r="X382" s="77"/>
      <c r="Y382" s="77">
        <v>16301</v>
      </c>
      <c r="Z382" s="77"/>
      <c r="AA382" s="77">
        <v>2046215</v>
      </c>
      <c r="AB382" s="77"/>
      <c r="AC382" s="77">
        <v>0</v>
      </c>
      <c r="AD382" s="77"/>
      <c r="AE382" s="77">
        <v>0</v>
      </c>
      <c r="AF382" s="77"/>
      <c r="AG382" s="77">
        <v>0</v>
      </c>
      <c r="AH382" s="77"/>
      <c r="AI382" s="77">
        <f t="shared" si="15"/>
        <v>24797645</v>
      </c>
      <c r="AJ382" s="24"/>
      <c r="AK382" s="15" t="str">
        <f>'Gen Rev'!A382</f>
        <v>Mayfield</v>
      </c>
      <c r="AL382" s="15" t="str">
        <f t="shared" si="16"/>
        <v>Mayfield</v>
      </c>
      <c r="AM382" s="15" t="b">
        <f t="shared" si="17"/>
        <v>1</v>
      </c>
      <c r="AN382" s="32"/>
      <c r="AO382" s="32"/>
      <c r="AP382" s="32"/>
    </row>
    <row r="383" spans="1:42" s="31" customFormat="1" ht="12" customHeight="1" x14ac:dyDescent="0.2">
      <c r="A383" s="24"/>
      <c r="B383" s="24"/>
      <c r="C383" s="24"/>
      <c r="D383" s="24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24"/>
      <c r="AK383" s="15"/>
      <c r="AL383" s="15"/>
      <c r="AM383" s="15"/>
      <c r="AN383" s="29"/>
      <c r="AO383" s="29"/>
      <c r="AP383" s="29"/>
    </row>
    <row r="384" spans="1:42" s="31" customFormat="1" ht="12" customHeight="1" x14ac:dyDescent="0.2">
      <c r="A384" s="24"/>
      <c r="B384" s="24"/>
      <c r="C384" s="24"/>
      <c r="D384" s="24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 t="s">
        <v>850</v>
      </c>
      <c r="AJ384" s="24"/>
      <c r="AK384" s="15"/>
      <c r="AL384" s="15"/>
      <c r="AM384" s="15"/>
      <c r="AN384" s="29"/>
      <c r="AO384" s="29"/>
      <c r="AP384" s="29"/>
    </row>
    <row r="385" spans="1:42" s="31" customFormat="1" ht="12" customHeight="1" x14ac:dyDescent="0.2">
      <c r="A385" s="24"/>
      <c r="B385" s="24"/>
      <c r="C385" s="24"/>
      <c r="D385" s="24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24"/>
      <c r="AK385" s="15"/>
      <c r="AL385" s="15"/>
      <c r="AM385" s="15"/>
      <c r="AN385" s="29"/>
      <c r="AO385" s="29"/>
      <c r="AP385" s="29"/>
    </row>
    <row r="386" spans="1:42" ht="12" customHeight="1" x14ac:dyDescent="0.2">
      <c r="A386" s="15" t="s">
        <v>302</v>
      </c>
      <c r="C386" s="1" t="s">
        <v>82</v>
      </c>
      <c r="E386" s="89">
        <v>290646.99</v>
      </c>
      <c r="F386" s="89"/>
      <c r="G386" s="89">
        <v>0</v>
      </c>
      <c r="H386" s="89"/>
      <c r="I386" s="89">
        <v>335440.90999999997</v>
      </c>
      <c r="J386" s="89"/>
      <c r="K386" s="89">
        <v>0</v>
      </c>
      <c r="L386" s="89"/>
      <c r="M386" s="89">
        <v>83579.289999999994</v>
      </c>
      <c r="N386" s="89"/>
      <c r="O386" s="89">
        <v>17891</v>
      </c>
      <c r="P386" s="89"/>
      <c r="Q386" s="89">
        <v>722.99</v>
      </c>
      <c r="R386" s="89"/>
      <c r="S386" s="89">
        <v>26322.15</v>
      </c>
      <c r="T386" s="89"/>
      <c r="U386" s="89">
        <v>0</v>
      </c>
      <c r="V386" s="89"/>
      <c r="W386" s="89">
        <v>0</v>
      </c>
      <c r="X386" s="89"/>
      <c r="Y386" s="89">
        <v>0</v>
      </c>
      <c r="Z386" s="89"/>
      <c r="AA386" s="89">
        <v>0</v>
      </c>
      <c r="AB386" s="89"/>
      <c r="AC386" s="89">
        <v>0</v>
      </c>
      <c r="AD386" s="89"/>
      <c r="AE386" s="89">
        <v>2159.5300000000002</v>
      </c>
      <c r="AF386" s="89"/>
      <c r="AG386" s="89">
        <v>0</v>
      </c>
      <c r="AH386" s="89"/>
      <c r="AI386" s="89">
        <f t="shared" si="15"/>
        <v>756762.86</v>
      </c>
      <c r="AJ386" s="24"/>
      <c r="AK386" s="15" t="str">
        <f>'Gen Rev'!A386</f>
        <v>McArthur</v>
      </c>
      <c r="AL386" s="15" t="str">
        <f t="shared" si="16"/>
        <v>McArthur</v>
      </c>
      <c r="AM386" s="15" t="b">
        <f t="shared" si="17"/>
        <v>1</v>
      </c>
    </row>
    <row r="387" spans="1:42" s="29" customFormat="1" ht="12" customHeight="1" x14ac:dyDescent="0.2">
      <c r="A387" s="1" t="s">
        <v>108</v>
      </c>
      <c r="B387" s="1"/>
      <c r="C387" s="1" t="s">
        <v>766</v>
      </c>
      <c r="D387" s="15"/>
      <c r="E387" s="77">
        <v>23945.74</v>
      </c>
      <c r="F387" s="77"/>
      <c r="G387" s="77">
        <v>74445.86</v>
      </c>
      <c r="H387" s="77"/>
      <c r="I387" s="77">
        <v>68718.52</v>
      </c>
      <c r="J387" s="77"/>
      <c r="K387" s="77">
        <v>0</v>
      </c>
      <c r="L387" s="77"/>
      <c r="M387" s="77">
        <v>0</v>
      </c>
      <c r="N387" s="77"/>
      <c r="O387" s="77">
        <v>4471.49</v>
      </c>
      <c r="P387" s="77"/>
      <c r="Q387" s="77">
        <v>42.05</v>
      </c>
      <c r="R387" s="77"/>
      <c r="S387" s="77">
        <v>93705.9</v>
      </c>
      <c r="T387" s="77"/>
      <c r="U387" s="77">
        <v>0</v>
      </c>
      <c r="V387" s="77"/>
      <c r="W387" s="77">
        <v>0</v>
      </c>
      <c r="X387" s="77"/>
      <c r="Y387" s="77">
        <v>0</v>
      </c>
      <c r="Z387" s="77"/>
      <c r="AA387" s="77">
        <v>0</v>
      </c>
      <c r="AB387" s="77"/>
      <c r="AC387" s="77">
        <v>0</v>
      </c>
      <c r="AD387" s="77"/>
      <c r="AE387" s="77">
        <v>0</v>
      </c>
      <c r="AF387" s="77"/>
      <c r="AG387" s="77">
        <v>0</v>
      </c>
      <c r="AH387" s="77"/>
      <c r="AI387" s="77">
        <f t="shared" si="15"/>
        <v>265329.55999999994</v>
      </c>
      <c r="AJ387" s="24"/>
      <c r="AK387" s="15" t="str">
        <f>'Gen Rev'!A387</f>
        <v>Mcclure</v>
      </c>
      <c r="AL387" s="15" t="str">
        <f t="shared" si="16"/>
        <v>Mcclure</v>
      </c>
      <c r="AM387" s="15" t="b">
        <f t="shared" si="17"/>
        <v>1</v>
      </c>
      <c r="AN387" s="15"/>
      <c r="AO387" s="15"/>
      <c r="AP387" s="15"/>
    </row>
    <row r="388" spans="1:42" ht="12" customHeight="1" x14ac:dyDescent="0.2">
      <c r="A388" s="15" t="s">
        <v>389</v>
      </c>
      <c r="C388" s="15" t="s">
        <v>388</v>
      </c>
      <c r="E388" s="77">
        <v>57251</v>
      </c>
      <c r="F388" s="77"/>
      <c r="G388" s="77">
        <v>699845</v>
      </c>
      <c r="H388" s="77"/>
      <c r="I388" s="77">
        <v>137661</v>
      </c>
      <c r="J388" s="77"/>
      <c r="K388" s="77">
        <v>122962</v>
      </c>
      <c r="L388" s="77"/>
      <c r="M388" s="77">
        <v>21735</v>
      </c>
      <c r="N388" s="77"/>
      <c r="O388" s="77">
        <v>9160</v>
      </c>
      <c r="P388" s="77"/>
      <c r="Q388" s="77">
        <v>6605</v>
      </c>
      <c r="R388" s="77"/>
      <c r="S388" s="77">
        <v>60872</v>
      </c>
      <c r="T388" s="77"/>
      <c r="U388" s="77">
        <v>0</v>
      </c>
      <c r="V388" s="77"/>
      <c r="W388" s="77">
        <v>0</v>
      </c>
      <c r="X388" s="77"/>
      <c r="Y388" s="77">
        <v>0</v>
      </c>
      <c r="Z388" s="77"/>
      <c r="AA388" s="77">
        <v>389890</v>
      </c>
      <c r="AB388" s="77"/>
      <c r="AC388" s="77">
        <v>8500</v>
      </c>
      <c r="AD388" s="77"/>
      <c r="AE388" s="77">
        <v>0</v>
      </c>
      <c r="AF388" s="77"/>
      <c r="AG388" s="77">
        <v>0</v>
      </c>
      <c r="AH388" s="77"/>
      <c r="AI388" s="77">
        <f t="shared" si="15"/>
        <v>1514481</v>
      </c>
      <c r="AJ388" s="24"/>
      <c r="AK388" s="15" t="str">
        <f>'Gen Rev'!A388</f>
        <v>McComb</v>
      </c>
      <c r="AL388" s="15" t="str">
        <f t="shared" si="16"/>
        <v>McComb</v>
      </c>
      <c r="AM388" s="15" t="b">
        <f t="shared" si="17"/>
        <v>1</v>
      </c>
      <c r="AN388" s="31"/>
      <c r="AO388" s="31"/>
      <c r="AP388" s="31"/>
    </row>
    <row r="389" spans="1:42" ht="12" customHeight="1" x14ac:dyDescent="0.2">
      <c r="A389" s="1" t="s">
        <v>168</v>
      </c>
      <c r="B389" s="1"/>
      <c r="C389" s="1" t="s">
        <v>787</v>
      </c>
      <c r="E389" s="77">
        <v>82019.41</v>
      </c>
      <c r="F389" s="77"/>
      <c r="G389" s="77">
        <v>383694.39</v>
      </c>
      <c r="H389" s="77"/>
      <c r="I389" s="77">
        <v>1240868.1000000001</v>
      </c>
      <c r="J389" s="77"/>
      <c r="K389" s="77">
        <v>0</v>
      </c>
      <c r="L389" s="77"/>
      <c r="M389" s="77">
        <v>62515.58</v>
      </c>
      <c r="N389" s="77"/>
      <c r="O389" s="77">
        <v>52829.3</v>
      </c>
      <c r="P389" s="77"/>
      <c r="Q389" s="77">
        <v>35895.4</v>
      </c>
      <c r="R389" s="77"/>
      <c r="S389" s="77">
        <v>102745.95</v>
      </c>
      <c r="T389" s="77"/>
      <c r="U389" s="77">
        <v>0</v>
      </c>
      <c r="V389" s="77"/>
      <c r="W389" s="77">
        <v>0</v>
      </c>
      <c r="X389" s="77"/>
      <c r="Y389" s="77">
        <v>0</v>
      </c>
      <c r="Z389" s="77"/>
      <c r="AA389" s="77">
        <v>0</v>
      </c>
      <c r="AB389" s="77"/>
      <c r="AC389" s="77">
        <v>0</v>
      </c>
      <c r="AD389" s="77"/>
      <c r="AE389" s="77">
        <v>0</v>
      </c>
      <c r="AF389" s="77"/>
      <c r="AG389" s="77">
        <v>0</v>
      </c>
      <c r="AH389" s="77"/>
      <c r="AI389" s="77">
        <f t="shared" si="15"/>
        <v>1960568.1300000001</v>
      </c>
      <c r="AJ389" s="24"/>
      <c r="AK389" s="15" t="str">
        <f>'Gen Rev'!A389</f>
        <v>Mcconnelsville</v>
      </c>
      <c r="AL389" s="15" t="str">
        <f t="shared" si="16"/>
        <v>Mcconnelsville</v>
      </c>
      <c r="AM389" s="15" t="b">
        <f t="shared" si="17"/>
        <v>1</v>
      </c>
    </row>
    <row r="390" spans="1:42" ht="12" customHeight="1" x14ac:dyDescent="0.2">
      <c r="A390" s="15" t="s">
        <v>558</v>
      </c>
      <c r="C390" s="15" t="s">
        <v>557</v>
      </c>
      <c r="E390" s="77">
        <v>156196</v>
      </c>
      <c r="F390" s="77"/>
      <c r="G390" s="77">
        <v>0</v>
      </c>
      <c r="H390" s="77"/>
      <c r="I390" s="77">
        <v>230047</v>
      </c>
      <c r="J390" s="77"/>
      <c r="K390" s="77">
        <v>0</v>
      </c>
      <c r="L390" s="77"/>
      <c r="M390" s="77">
        <v>78618</v>
      </c>
      <c r="N390" s="77"/>
      <c r="O390" s="77">
        <v>29640</v>
      </c>
      <c r="P390" s="77"/>
      <c r="Q390" s="77">
        <v>10342</v>
      </c>
      <c r="R390" s="77"/>
      <c r="S390" s="77">
        <v>125175</v>
      </c>
      <c r="T390" s="77"/>
      <c r="U390" s="77">
        <v>0</v>
      </c>
      <c r="V390" s="77"/>
      <c r="W390" s="77">
        <v>0</v>
      </c>
      <c r="X390" s="77"/>
      <c r="Y390" s="77">
        <v>0</v>
      </c>
      <c r="Z390" s="77"/>
      <c r="AA390" s="77">
        <v>1045000</v>
      </c>
      <c r="AB390" s="77"/>
      <c r="AC390" s="77">
        <v>0</v>
      </c>
      <c r="AD390" s="77"/>
      <c r="AE390" s="77">
        <v>0</v>
      </c>
      <c r="AF390" s="77"/>
      <c r="AG390" s="77">
        <v>0</v>
      </c>
      <c r="AH390" s="77"/>
      <c r="AI390" s="77">
        <f t="shared" si="15"/>
        <v>1675018</v>
      </c>
      <c r="AJ390" s="24"/>
      <c r="AK390" s="15" t="str">
        <f>'Gen Rev'!A390</f>
        <v>McDonald</v>
      </c>
      <c r="AL390" s="15" t="str">
        <f t="shared" si="16"/>
        <v>McDonald</v>
      </c>
      <c r="AM390" s="15" t="b">
        <f t="shared" si="17"/>
        <v>1</v>
      </c>
    </row>
    <row r="391" spans="1:42" ht="12" customHeight="1" x14ac:dyDescent="0.2">
      <c r="A391" s="15" t="s">
        <v>399</v>
      </c>
      <c r="C391" s="15" t="s">
        <v>396</v>
      </c>
      <c r="E391" s="77">
        <v>6488</v>
      </c>
      <c r="F391" s="77"/>
      <c r="G391" s="77">
        <v>52590</v>
      </c>
      <c r="H391" s="77"/>
      <c r="I391" s="77">
        <f>48112+22141</f>
        <v>70253</v>
      </c>
      <c r="J391" s="77"/>
      <c r="K391" s="77">
        <v>8617</v>
      </c>
      <c r="L391" s="77"/>
      <c r="M391" s="77">
        <v>9600</v>
      </c>
      <c r="N391" s="77"/>
      <c r="O391" s="77">
        <v>2662</v>
      </c>
      <c r="P391" s="77"/>
      <c r="Q391" s="77">
        <f>899+325</f>
        <v>1224</v>
      </c>
      <c r="R391" s="77"/>
      <c r="S391" s="77">
        <v>7815</v>
      </c>
      <c r="T391" s="77"/>
      <c r="U391" s="77">
        <v>0</v>
      </c>
      <c r="V391" s="77"/>
      <c r="W391" s="77">
        <v>0</v>
      </c>
      <c r="X391" s="77"/>
      <c r="Y391" s="77">
        <v>0</v>
      </c>
      <c r="Z391" s="77"/>
      <c r="AA391" s="77">
        <v>0</v>
      </c>
      <c r="AB391" s="77"/>
      <c r="AC391" s="77">
        <v>0</v>
      </c>
      <c r="AD391" s="77"/>
      <c r="AE391" s="77">
        <v>0</v>
      </c>
      <c r="AF391" s="77"/>
      <c r="AG391" s="77">
        <v>0</v>
      </c>
      <c r="AH391" s="77"/>
      <c r="AI391" s="77">
        <f t="shared" si="15"/>
        <v>159249</v>
      </c>
      <c r="AJ391" s="24"/>
      <c r="AK391" s="15" t="str">
        <f>'Gen Rev'!A391</f>
        <v>Mcguffey</v>
      </c>
      <c r="AL391" s="15" t="str">
        <f t="shared" si="16"/>
        <v>Mcguffey</v>
      </c>
      <c r="AM391" s="15" t="b">
        <f t="shared" si="17"/>
        <v>1</v>
      </c>
    </row>
    <row r="392" spans="1:42" ht="12" hidden="1" customHeight="1" x14ac:dyDescent="0.2">
      <c r="A392" s="1" t="s">
        <v>286</v>
      </c>
      <c r="B392" s="1"/>
      <c r="C392" s="1" t="s">
        <v>287</v>
      </c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>
        <f t="shared" si="15"/>
        <v>0</v>
      </c>
      <c r="AJ392" s="24"/>
      <c r="AK392" s="15" t="str">
        <f>'Gen Rev'!A392</f>
        <v>Mechanicsburg</v>
      </c>
      <c r="AL392" s="15" t="str">
        <f t="shared" si="16"/>
        <v>Mechanicsburg</v>
      </c>
      <c r="AM392" s="15" t="b">
        <f t="shared" si="17"/>
        <v>1</v>
      </c>
    </row>
    <row r="393" spans="1:42" ht="12" customHeight="1" x14ac:dyDescent="0.2">
      <c r="A393" s="1" t="s">
        <v>185</v>
      </c>
      <c r="B393" s="1"/>
      <c r="C393" s="1" t="s">
        <v>792</v>
      </c>
      <c r="E393" s="77">
        <v>11267.19</v>
      </c>
      <c r="F393" s="77"/>
      <c r="G393" s="77">
        <v>18213.900000000001</v>
      </c>
      <c r="H393" s="77"/>
      <c r="I393" s="77">
        <v>25174.959999999999</v>
      </c>
      <c r="J393" s="77"/>
      <c r="K393" s="77">
        <v>344.41</v>
      </c>
      <c r="L393" s="77"/>
      <c r="M393" s="77">
        <v>0</v>
      </c>
      <c r="N393" s="77"/>
      <c r="O393" s="77">
        <v>294.11</v>
      </c>
      <c r="P393" s="77"/>
      <c r="Q393" s="77">
        <v>0</v>
      </c>
      <c r="R393" s="77"/>
      <c r="S393" s="77">
        <v>819.02</v>
      </c>
      <c r="T393" s="77"/>
      <c r="U393" s="77">
        <v>0</v>
      </c>
      <c r="V393" s="77"/>
      <c r="W393" s="77">
        <v>0</v>
      </c>
      <c r="X393" s="77"/>
      <c r="Y393" s="77">
        <v>0</v>
      </c>
      <c r="Z393" s="77"/>
      <c r="AA393" s="77">
        <v>0</v>
      </c>
      <c r="AB393" s="77"/>
      <c r="AC393" s="77">
        <v>0</v>
      </c>
      <c r="AD393" s="77"/>
      <c r="AE393" s="77">
        <v>0</v>
      </c>
      <c r="AF393" s="77"/>
      <c r="AG393" s="77">
        <v>0</v>
      </c>
      <c r="AH393" s="77"/>
      <c r="AI393" s="77">
        <f t="shared" si="15"/>
        <v>56113.590000000004</v>
      </c>
      <c r="AJ393" s="24"/>
      <c r="AK393" s="15" t="str">
        <f>'Gen Rev'!A393</f>
        <v>Melrose</v>
      </c>
      <c r="AL393" s="15" t="str">
        <f t="shared" si="16"/>
        <v>Melrose</v>
      </c>
      <c r="AM393" s="15" t="b">
        <f t="shared" si="17"/>
        <v>1</v>
      </c>
      <c r="AN393" s="30"/>
      <c r="AO393" s="30"/>
      <c r="AP393" s="30"/>
    </row>
    <row r="394" spans="1:42" ht="12" customHeight="1" x14ac:dyDescent="0.2">
      <c r="A394" s="1" t="s">
        <v>834</v>
      </c>
      <c r="B394" s="1"/>
      <c r="C394" s="1" t="s">
        <v>783</v>
      </c>
      <c r="E394" s="77">
        <v>33739.68</v>
      </c>
      <c r="F394" s="77"/>
      <c r="G394" s="77">
        <v>0</v>
      </c>
      <c r="H394" s="77"/>
      <c r="I394" s="77">
        <v>39103.449999999997</v>
      </c>
      <c r="J394" s="77"/>
      <c r="K394" s="77">
        <v>0</v>
      </c>
      <c r="L394" s="77"/>
      <c r="M394" s="77">
        <v>10880.77</v>
      </c>
      <c r="N394" s="77"/>
      <c r="O394" s="77">
        <v>4952.74</v>
      </c>
      <c r="P394" s="77"/>
      <c r="Q394" s="77">
        <v>217.91</v>
      </c>
      <c r="R394" s="77"/>
      <c r="S394" s="77">
        <v>1242.1199999999999</v>
      </c>
      <c r="T394" s="77"/>
      <c r="U394" s="77">
        <v>0</v>
      </c>
      <c r="V394" s="77"/>
      <c r="W394" s="77">
        <v>0</v>
      </c>
      <c r="X394" s="77"/>
      <c r="Y394" s="77">
        <v>0</v>
      </c>
      <c r="Z394" s="77"/>
      <c r="AA394" s="77">
        <v>0</v>
      </c>
      <c r="AB394" s="77"/>
      <c r="AC394" s="77">
        <v>0</v>
      </c>
      <c r="AD394" s="77"/>
      <c r="AE394" s="77">
        <v>171.25</v>
      </c>
      <c r="AF394" s="77"/>
      <c r="AG394" s="77">
        <v>0</v>
      </c>
      <c r="AH394" s="77"/>
      <c r="AI394" s="77">
        <f t="shared" si="15"/>
        <v>90307.920000000013</v>
      </c>
      <c r="AJ394" s="24"/>
      <c r="AK394" s="15" t="str">
        <f>'Gen Rev'!A394</f>
        <v>Mendon</v>
      </c>
      <c r="AL394" s="15" t="str">
        <f t="shared" si="16"/>
        <v>Mendon</v>
      </c>
      <c r="AM394" s="15" t="b">
        <f t="shared" si="17"/>
        <v>1</v>
      </c>
      <c r="AN394" s="31"/>
      <c r="AO394" s="31"/>
      <c r="AP394" s="31"/>
    </row>
    <row r="395" spans="1:42" ht="12" customHeight="1" x14ac:dyDescent="0.2">
      <c r="A395" s="15" t="s">
        <v>361</v>
      </c>
      <c r="C395" s="15" t="s">
        <v>358</v>
      </c>
      <c r="E395" s="77">
        <v>31974</v>
      </c>
      <c r="F395" s="77"/>
      <c r="G395" s="77">
        <v>235259</v>
      </c>
      <c r="H395" s="77"/>
      <c r="I395" s="77">
        <v>67305</v>
      </c>
      <c r="J395" s="77"/>
      <c r="K395" s="77">
        <v>0</v>
      </c>
      <c r="L395" s="77"/>
      <c r="M395" s="77">
        <v>1160</v>
      </c>
      <c r="N395" s="77"/>
      <c r="O395" s="77">
        <v>830</v>
      </c>
      <c r="P395" s="77"/>
      <c r="Q395" s="77">
        <v>461</v>
      </c>
      <c r="R395" s="77"/>
      <c r="S395" s="77">
        <v>33555</v>
      </c>
      <c r="T395" s="77"/>
      <c r="U395" s="77">
        <v>0</v>
      </c>
      <c r="V395" s="77"/>
      <c r="W395" s="77">
        <v>0</v>
      </c>
      <c r="X395" s="77"/>
      <c r="Y395" s="77">
        <v>8190</v>
      </c>
      <c r="Z395" s="77"/>
      <c r="AA395" s="77">
        <v>0</v>
      </c>
      <c r="AB395" s="77"/>
      <c r="AC395" s="77">
        <v>0</v>
      </c>
      <c r="AD395" s="77"/>
      <c r="AE395" s="77">
        <v>0</v>
      </c>
      <c r="AF395" s="77"/>
      <c r="AG395" s="77">
        <v>0</v>
      </c>
      <c r="AH395" s="77"/>
      <c r="AI395" s="77">
        <f t="shared" si="15"/>
        <v>378734</v>
      </c>
      <c r="AJ395" s="24"/>
      <c r="AK395" s="15" t="str">
        <f>'Gen Rev'!A395</f>
        <v>Metamora</v>
      </c>
      <c r="AL395" s="15" t="str">
        <f t="shared" si="16"/>
        <v>Metamora</v>
      </c>
      <c r="AM395" s="15" t="b">
        <f t="shared" si="17"/>
        <v>1</v>
      </c>
      <c r="AN395" s="31"/>
      <c r="AO395" s="31"/>
      <c r="AP395" s="31"/>
    </row>
    <row r="396" spans="1:42" ht="12" customHeight="1" x14ac:dyDescent="0.2">
      <c r="A396" s="1" t="s">
        <v>227</v>
      </c>
      <c r="B396" s="1"/>
      <c r="C396" s="1" t="s">
        <v>804</v>
      </c>
      <c r="E396" s="77">
        <v>78988.25</v>
      </c>
      <c r="F396" s="77"/>
      <c r="G396" s="77">
        <v>0</v>
      </c>
      <c r="H396" s="77"/>
      <c r="I396" s="77">
        <v>32178.95</v>
      </c>
      <c r="J396" s="77"/>
      <c r="K396" s="77">
        <v>0</v>
      </c>
      <c r="L396" s="77"/>
      <c r="M396" s="77">
        <v>19400</v>
      </c>
      <c r="N396" s="77"/>
      <c r="O396" s="77">
        <v>13725.86</v>
      </c>
      <c r="P396" s="77"/>
      <c r="Q396" s="77">
        <v>166.08</v>
      </c>
      <c r="R396" s="77"/>
      <c r="S396" s="77">
        <v>10564.45</v>
      </c>
      <c r="T396" s="77"/>
      <c r="U396" s="77">
        <v>0</v>
      </c>
      <c r="V396" s="77"/>
      <c r="W396" s="77">
        <v>0</v>
      </c>
      <c r="X396" s="77"/>
      <c r="Y396" s="77">
        <v>0</v>
      </c>
      <c r="Z396" s="77"/>
      <c r="AA396" s="77">
        <v>0</v>
      </c>
      <c r="AB396" s="77"/>
      <c r="AC396" s="77">
        <v>0</v>
      </c>
      <c r="AD396" s="77"/>
      <c r="AE396" s="77">
        <v>0</v>
      </c>
      <c r="AF396" s="77"/>
      <c r="AG396" s="77">
        <v>0</v>
      </c>
      <c r="AH396" s="77"/>
      <c r="AI396" s="77">
        <f t="shared" si="15"/>
        <v>155023.59</v>
      </c>
      <c r="AJ396" s="24"/>
      <c r="AK396" s="15" t="str">
        <f>'Gen Rev'!A396</f>
        <v>Meyers Lake</v>
      </c>
      <c r="AL396" s="15" t="str">
        <f t="shared" si="16"/>
        <v>Meyers Lake</v>
      </c>
      <c r="AM396" s="15" t="b">
        <f t="shared" si="17"/>
        <v>1</v>
      </c>
    </row>
    <row r="397" spans="1:42" ht="12" customHeight="1" x14ac:dyDescent="0.2">
      <c r="A397" s="1" t="s">
        <v>929</v>
      </c>
      <c r="B397" s="1"/>
      <c r="C397" s="1" t="s">
        <v>572</v>
      </c>
      <c r="E397" s="77">
        <v>23041.11</v>
      </c>
      <c r="F397" s="77"/>
      <c r="G397" s="77">
        <v>65210.11</v>
      </c>
      <c r="H397" s="77"/>
      <c r="I397" s="77">
        <v>66973.83</v>
      </c>
      <c r="J397" s="77"/>
      <c r="K397" s="77">
        <v>0</v>
      </c>
      <c r="L397" s="77"/>
      <c r="M397" s="77">
        <v>105425.65</v>
      </c>
      <c r="N397" s="77"/>
      <c r="O397" s="77">
        <v>2831.6</v>
      </c>
      <c r="P397" s="77"/>
      <c r="Q397" s="77">
        <v>37.119999999999997</v>
      </c>
      <c r="R397" s="77"/>
      <c r="S397" s="77">
        <v>5948.38</v>
      </c>
      <c r="T397" s="77"/>
      <c r="U397" s="77">
        <v>0</v>
      </c>
      <c r="V397" s="77"/>
      <c r="W397" s="77">
        <v>0</v>
      </c>
      <c r="X397" s="77"/>
      <c r="Y397" s="77">
        <v>0</v>
      </c>
      <c r="Z397" s="77"/>
      <c r="AA397" s="77">
        <v>0</v>
      </c>
      <c r="AB397" s="77"/>
      <c r="AC397" s="77">
        <v>22500</v>
      </c>
      <c r="AD397" s="77"/>
      <c r="AE397" s="77">
        <v>0</v>
      </c>
      <c r="AF397" s="77"/>
      <c r="AG397" s="77">
        <v>0</v>
      </c>
      <c r="AH397" s="77"/>
      <c r="AI397" s="77">
        <f t="shared" si="15"/>
        <v>291967.8</v>
      </c>
      <c r="AJ397" s="24"/>
      <c r="AK397" s="15" t="str">
        <f>'Gen Rev'!A397</f>
        <v>Middle Point</v>
      </c>
      <c r="AL397" s="15" t="str">
        <f t="shared" si="16"/>
        <v>Middle Point</v>
      </c>
      <c r="AM397" s="15" t="b">
        <f t="shared" si="17"/>
        <v>1</v>
      </c>
      <c r="AN397" s="31"/>
      <c r="AO397" s="31"/>
      <c r="AP397" s="31"/>
    </row>
    <row r="398" spans="1:42" ht="12" customHeight="1" x14ac:dyDescent="0.2">
      <c r="A398" s="15" t="s">
        <v>367</v>
      </c>
      <c r="C398" s="15" t="s">
        <v>368</v>
      </c>
      <c r="E398" s="77">
        <v>299073</v>
      </c>
      <c r="F398" s="77"/>
      <c r="G398" s="77">
        <v>2307250</v>
      </c>
      <c r="H398" s="77"/>
      <c r="I398" s="77">
        <v>262111</v>
      </c>
      <c r="J398" s="77"/>
      <c r="K398" s="77">
        <v>0</v>
      </c>
      <c r="L398" s="77"/>
      <c r="M398" s="77">
        <v>278607</v>
      </c>
      <c r="N398" s="77"/>
      <c r="O398" s="77">
        <v>61951</v>
      </c>
      <c r="P398" s="77"/>
      <c r="Q398" s="77">
        <v>5437</v>
      </c>
      <c r="R398" s="77"/>
      <c r="S398" s="77">
        <f>33563+11373</f>
        <v>44936</v>
      </c>
      <c r="T398" s="77"/>
      <c r="U398" s="77">
        <v>0</v>
      </c>
      <c r="V398" s="77"/>
      <c r="W398" s="77">
        <v>0</v>
      </c>
      <c r="X398" s="77"/>
      <c r="Y398" s="77">
        <v>8305</v>
      </c>
      <c r="Z398" s="77"/>
      <c r="AA398" s="77">
        <v>1530500</v>
      </c>
      <c r="AB398" s="77"/>
      <c r="AC398" s="77">
        <v>0</v>
      </c>
      <c r="AD398" s="77"/>
      <c r="AE398" s="77">
        <v>0</v>
      </c>
      <c r="AF398" s="77"/>
      <c r="AG398" s="77">
        <v>0</v>
      </c>
      <c r="AH398" s="77"/>
      <c r="AI398" s="77">
        <f t="shared" si="15"/>
        <v>4798170</v>
      </c>
      <c r="AJ398" s="24"/>
      <c r="AK398" s="15" t="str">
        <f>'Gen Rev'!A398</f>
        <v>Middlefield</v>
      </c>
      <c r="AL398" s="15" t="str">
        <f t="shared" si="16"/>
        <v>Middlefield</v>
      </c>
      <c r="AM398" s="15" t="b">
        <f t="shared" si="17"/>
        <v>1</v>
      </c>
      <c r="AN398" s="31"/>
      <c r="AO398" s="31"/>
      <c r="AP398" s="31"/>
    </row>
    <row r="399" spans="1:42" s="31" customFormat="1" ht="12" customHeight="1" x14ac:dyDescent="0.2">
      <c r="A399" s="1" t="s">
        <v>156</v>
      </c>
      <c r="B399" s="1"/>
      <c r="C399" s="1" t="s">
        <v>464</v>
      </c>
      <c r="D399" s="15"/>
      <c r="E399" s="77">
        <v>122306.63</v>
      </c>
      <c r="F399" s="77"/>
      <c r="G399" s="77">
        <v>219616.28</v>
      </c>
      <c r="H399" s="77"/>
      <c r="I399" s="77">
        <v>272609.09999999998</v>
      </c>
      <c r="J399" s="77"/>
      <c r="K399" s="77">
        <v>0</v>
      </c>
      <c r="L399" s="77"/>
      <c r="M399" s="77">
        <v>368989.95</v>
      </c>
      <c r="N399" s="77"/>
      <c r="O399" s="77">
        <v>115519.74</v>
      </c>
      <c r="P399" s="77"/>
      <c r="Q399" s="77">
        <v>2732.15</v>
      </c>
      <c r="R399" s="77"/>
      <c r="S399" s="77">
        <v>29325.9</v>
      </c>
      <c r="T399" s="77"/>
      <c r="U399" s="77">
        <v>570000</v>
      </c>
      <c r="V399" s="77"/>
      <c r="W399" s="77">
        <v>0</v>
      </c>
      <c r="X399" s="77"/>
      <c r="Y399" s="77">
        <v>0</v>
      </c>
      <c r="Z399" s="77"/>
      <c r="AA399" s="77">
        <v>0</v>
      </c>
      <c r="AB399" s="77"/>
      <c r="AC399" s="77">
        <v>0</v>
      </c>
      <c r="AD399" s="77"/>
      <c r="AE399" s="77">
        <v>0</v>
      </c>
      <c r="AF399" s="77"/>
      <c r="AG399" s="77">
        <v>0</v>
      </c>
      <c r="AH399" s="77"/>
      <c r="AI399" s="77">
        <f t="shared" si="15"/>
        <v>1701099.7499999998</v>
      </c>
      <c r="AJ399" s="24"/>
      <c r="AK399" s="15" t="str">
        <f>'Gen Rev'!A399</f>
        <v>Middleport</v>
      </c>
      <c r="AL399" s="15" t="str">
        <f t="shared" si="16"/>
        <v>Middleport</v>
      </c>
      <c r="AM399" s="15" t="b">
        <f t="shared" si="17"/>
        <v>1</v>
      </c>
      <c r="AN399" s="15"/>
      <c r="AO399" s="15"/>
      <c r="AP399" s="15"/>
    </row>
    <row r="400" spans="1:42" s="31" customFormat="1" ht="12" customHeight="1" x14ac:dyDescent="0.2">
      <c r="A400" s="1" t="s">
        <v>891</v>
      </c>
      <c r="B400" s="1"/>
      <c r="C400" s="1" t="s">
        <v>299</v>
      </c>
      <c r="D400" s="15"/>
      <c r="E400" s="77">
        <v>16400.060000000001</v>
      </c>
      <c r="F400" s="77"/>
      <c r="G400" s="77">
        <v>0</v>
      </c>
      <c r="H400" s="77"/>
      <c r="I400" s="77">
        <v>20962.009999999998</v>
      </c>
      <c r="J400" s="77"/>
      <c r="K400" s="77">
        <v>0</v>
      </c>
      <c r="L400" s="77"/>
      <c r="M400" s="77">
        <v>0</v>
      </c>
      <c r="N400" s="77"/>
      <c r="O400" s="77">
        <v>2903.82</v>
      </c>
      <c r="P400" s="77"/>
      <c r="Q400" s="77">
        <v>0</v>
      </c>
      <c r="R400" s="77"/>
      <c r="S400" s="77">
        <v>0</v>
      </c>
      <c r="T400" s="77"/>
      <c r="U400" s="77">
        <v>0</v>
      </c>
      <c r="V400" s="77"/>
      <c r="W400" s="77">
        <v>0</v>
      </c>
      <c r="X400" s="77"/>
      <c r="Y400" s="77">
        <v>0</v>
      </c>
      <c r="Z400" s="77"/>
      <c r="AA400" s="77">
        <v>0</v>
      </c>
      <c r="AB400" s="77"/>
      <c r="AC400" s="77">
        <v>0</v>
      </c>
      <c r="AD400" s="77"/>
      <c r="AE400" s="77">
        <v>0</v>
      </c>
      <c r="AF400" s="77"/>
      <c r="AG400" s="77">
        <v>0</v>
      </c>
      <c r="AH400" s="77"/>
      <c r="AI400" s="77">
        <f t="shared" si="15"/>
        <v>40265.89</v>
      </c>
      <c r="AJ400" s="24"/>
      <c r="AK400" s="15" t="str">
        <f>'Gen Rev'!A400</f>
        <v>Midland</v>
      </c>
      <c r="AL400" s="15" t="str">
        <f t="shared" si="16"/>
        <v>Midland</v>
      </c>
      <c r="AM400" s="15" t="b">
        <f t="shared" si="17"/>
        <v>1</v>
      </c>
      <c r="AN400" s="15"/>
      <c r="AO400" s="15"/>
      <c r="AP400" s="15"/>
    </row>
    <row r="401" spans="1:42" s="24" customFormat="1" ht="12" customHeight="1" x14ac:dyDescent="0.2">
      <c r="A401" s="1" t="s">
        <v>233</v>
      </c>
      <c r="B401" s="1"/>
      <c r="C401" s="1" t="s">
        <v>806</v>
      </c>
      <c r="D401" s="15"/>
      <c r="E401" s="77">
        <v>48664.31</v>
      </c>
      <c r="F401" s="77"/>
      <c r="G401" s="77">
        <v>170430.01</v>
      </c>
      <c r="H401" s="77"/>
      <c r="I401" s="77">
        <v>90694.47</v>
      </c>
      <c r="J401" s="77"/>
      <c r="K401" s="77">
        <v>0</v>
      </c>
      <c r="L401" s="77"/>
      <c r="M401" s="77">
        <v>9016.99</v>
      </c>
      <c r="N401" s="77"/>
      <c r="O401" s="77">
        <v>5206</v>
      </c>
      <c r="P401" s="77"/>
      <c r="Q401" s="77">
        <v>35.130000000000003</v>
      </c>
      <c r="R401" s="77"/>
      <c r="S401" s="77">
        <v>12559.94</v>
      </c>
      <c r="T401" s="77"/>
      <c r="U401" s="77">
        <v>0</v>
      </c>
      <c r="V401" s="77"/>
      <c r="W401" s="77">
        <v>0</v>
      </c>
      <c r="X401" s="77"/>
      <c r="Y401" s="77">
        <v>0</v>
      </c>
      <c r="Z401" s="77"/>
      <c r="AA401" s="77">
        <v>0</v>
      </c>
      <c r="AB401" s="77"/>
      <c r="AC401" s="77">
        <v>0</v>
      </c>
      <c r="AD401" s="77"/>
      <c r="AE401" s="77">
        <v>90942</v>
      </c>
      <c r="AF401" s="77"/>
      <c r="AG401" s="77">
        <v>2227.75</v>
      </c>
      <c r="AH401" s="77"/>
      <c r="AI401" s="77">
        <f t="shared" si="15"/>
        <v>429776.60000000003</v>
      </c>
      <c r="AK401" s="15" t="str">
        <f>'Gen Rev'!A401</f>
        <v>Midvale</v>
      </c>
      <c r="AL401" s="15" t="str">
        <f t="shared" si="16"/>
        <v>Midvale</v>
      </c>
      <c r="AM401" s="15" t="b">
        <f t="shared" si="17"/>
        <v>1</v>
      </c>
      <c r="AN401" s="15"/>
      <c r="AO401" s="15"/>
      <c r="AP401" s="15"/>
    </row>
    <row r="402" spans="1:42" ht="12" customHeight="1" x14ac:dyDescent="0.2">
      <c r="A402" s="15" t="s">
        <v>459</v>
      </c>
      <c r="C402" s="15" t="s">
        <v>432</v>
      </c>
      <c r="E402" s="77">
        <v>43945</v>
      </c>
      <c r="F402" s="77"/>
      <c r="G402" s="77">
        <v>0</v>
      </c>
      <c r="H402" s="77"/>
      <c r="I402" s="77">
        <v>0</v>
      </c>
      <c r="J402" s="77"/>
      <c r="K402" s="77">
        <v>0</v>
      </c>
      <c r="L402" s="77"/>
      <c r="M402" s="77">
        <v>0</v>
      </c>
      <c r="N402" s="77"/>
      <c r="O402" s="77">
        <v>0</v>
      </c>
      <c r="P402" s="77"/>
      <c r="Q402" s="77">
        <v>0</v>
      </c>
      <c r="R402" s="77"/>
      <c r="S402" s="77">
        <v>0</v>
      </c>
      <c r="T402" s="77"/>
      <c r="U402" s="77">
        <v>0</v>
      </c>
      <c r="V402" s="77"/>
      <c r="W402" s="77">
        <v>0</v>
      </c>
      <c r="X402" s="77"/>
      <c r="Y402" s="77">
        <v>0</v>
      </c>
      <c r="Z402" s="77"/>
      <c r="AA402" s="77">
        <v>0</v>
      </c>
      <c r="AB402" s="77"/>
      <c r="AC402" s="77">
        <v>0</v>
      </c>
      <c r="AD402" s="77"/>
      <c r="AE402" s="77">
        <v>0</v>
      </c>
      <c r="AF402" s="77"/>
      <c r="AG402" s="77">
        <v>0</v>
      </c>
      <c r="AH402" s="77"/>
      <c r="AI402" s="77">
        <f t="shared" si="15"/>
        <v>43945</v>
      </c>
      <c r="AJ402" s="24"/>
      <c r="AK402" s="15" t="str">
        <f>'Gen Rev'!A402</f>
        <v>Midway</v>
      </c>
      <c r="AL402" s="15" t="str">
        <f t="shared" si="16"/>
        <v>Midway</v>
      </c>
      <c r="AM402" s="15" t="b">
        <f t="shared" si="17"/>
        <v>1</v>
      </c>
    </row>
    <row r="403" spans="1:42" ht="12" customHeight="1" x14ac:dyDescent="0.2">
      <c r="A403" s="1" t="s">
        <v>8</v>
      </c>
      <c r="B403" s="1"/>
      <c r="C403" s="1" t="s">
        <v>666</v>
      </c>
      <c r="E403" s="77">
        <v>14987.91</v>
      </c>
      <c r="F403" s="77"/>
      <c r="G403" s="77">
        <v>0</v>
      </c>
      <c r="H403" s="77"/>
      <c r="I403" s="77">
        <v>50803.61</v>
      </c>
      <c r="J403" s="77"/>
      <c r="K403" s="77">
        <v>0</v>
      </c>
      <c r="L403" s="77"/>
      <c r="M403" s="77">
        <v>0</v>
      </c>
      <c r="N403" s="77"/>
      <c r="O403" s="77">
        <v>15334</v>
      </c>
      <c r="P403" s="77"/>
      <c r="Q403" s="77">
        <v>21</v>
      </c>
      <c r="R403" s="77"/>
      <c r="S403" s="77">
        <v>500</v>
      </c>
      <c r="T403" s="77"/>
      <c r="U403" s="77">
        <v>0</v>
      </c>
      <c r="V403" s="77"/>
      <c r="W403" s="77">
        <v>0</v>
      </c>
      <c r="X403" s="77"/>
      <c r="Y403" s="77">
        <v>0</v>
      </c>
      <c r="Z403" s="77"/>
      <c r="AA403" s="77">
        <v>0</v>
      </c>
      <c r="AB403" s="77"/>
      <c r="AC403" s="77">
        <v>0</v>
      </c>
      <c r="AD403" s="77"/>
      <c r="AE403" s="77">
        <v>0</v>
      </c>
      <c r="AF403" s="77"/>
      <c r="AG403" s="77">
        <v>0</v>
      </c>
      <c r="AH403" s="77"/>
      <c r="AI403" s="77">
        <f t="shared" si="15"/>
        <v>81646.52</v>
      </c>
      <c r="AJ403" s="24"/>
      <c r="AK403" s="15" t="str">
        <f>'Gen Rev'!A403</f>
        <v>Mifflin</v>
      </c>
      <c r="AL403" s="15" t="str">
        <f t="shared" si="16"/>
        <v>Mifflin</v>
      </c>
      <c r="AM403" s="15" t="b">
        <f t="shared" si="17"/>
        <v>1</v>
      </c>
      <c r="AN403" s="32"/>
      <c r="AO403" s="32"/>
      <c r="AP403" s="32"/>
    </row>
    <row r="404" spans="1:42" ht="12" customHeight="1" x14ac:dyDescent="0.2">
      <c r="A404" s="15" t="s">
        <v>347</v>
      </c>
      <c r="C404" s="15" t="s">
        <v>348</v>
      </c>
      <c r="E404" s="77">
        <v>217036</v>
      </c>
      <c r="F404" s="77"/>
      <c r="G404" s="77">
        <v>502532</v>
      </c>
      <c r="H404" s="77"/>
      <c r="I404" s="77">
        <v>154706</v>
      </c>
      <c r="J404" s="77"/>
      <c r="K404" s="77">
        <v>3120</v>
      </c>
      <c r="L404" s="77"/>
      <c r="M404" s="77">
        <v>0</v>
      </c>
      <c r="N404" s="77"/>
      <c r="O404" s="77">
        <v>72908</v>
      </c>
      <c r="P404" s="77"/>
      <c r="Q404" s="77">
        <v>2216</v>
      </c>
      <c r="R404" s="77"/>
      <c r="S404" s="77">
        <v>9920</v>
      </c>
      <c r="T404" s="77"/>
      <c r="U404" s="77">
        <v>0</v>
      </c>
      <c r="V404" s="77"/>
      <c r="W404" s="77">
        <v>0</v>
      </c>
      <c r="X404" s="77"/>
      <c r="Y404" s="77">
        <v>0</v>
      </c>
      <c r="Z404" s="77"/>
      <c r="AA404" s="77">
        <v>30060</v>
      </c>
      <c r="AB404" s="77"/>
      <c r="AC404" s="77">
        <v>0</v>
      </c>
      <c r="AD404" s="77"/>
      <c r="AE404" s="77">
        <v>0</v>
      </c>
      <c r="AF404" s="77"/>
      <c r="AG404" s="77">
        <v>0</v>
      </c>
      <c r="AH404" s="77"/>
      <c r="AI404" s="77">
        <f t="shared" si="15"/>
        <v>992498</v>
      </c>
      <c r="AJ404" s="24"/>
      <c r="AK404" s="15" t="str">
        <f>'Gen Rev'!A404</f>
        <v>Milan</v>
      </c>
      <c r="AL404" s="15" t="str">
        <f t="shared" si="16"/>
        <v>Milan</v>
      </c>
      <c r="AM404" s="15" t="b">
        <f t="shared" si="17"/>
        <v>1</v>
      </c>
      <c r="AN404" s="32"/>
      <c r="AO404" s="32"/>
      <c r="AP404" s="32"/>
    </row>
    <row r="405" spans="1:42" ht="12" customHeight="1" x14ac:dyDescent="0.2">
      <c r="A405" s="1" t="s">
        <v>237</v>
      </c>
      <c r="B405" s="1"/>
      <c r="C405" s="1" t="s">
        <v>807</v>
      </c>
      <c r="E405" s="77">
        <v>19532.400000000001</v>
      </c>
      <c r="F405" s="77"/>
      <c r="G405" s="77">
        <v>103217.27</v>
      </c>
      <c r="H405" s="77"/>
      <c r="I405" s="77">
        <v>32977.82</v>
      </c>
      <c r="J405" s="77"/>
      <c r="K405" s="77">
        <v>0</v>
      </c>
      <c r="L405" s="77"/>
      <c r="M405" s="77">
        <v>4996</v>
      </c>
      <c r="N405" s="77"/>
      <c r="O405" s="77">
        <v>5019</v>
      </c>
      <c r="P405" s="77"/>
      <c r="Q405" s="77">
        <v>104.89</v>
      </c>
      <c r="R405" s="77"/>
      <c r="S405" s="77">
        <v>725.62</v>
      </c>
      <c r="T405" s="77"/>
      <c r="U405" s="77">
        <v>0</v>
      </c>
      <c r="V405" s="77"/>
      <c r="W405" s="77">
        <v>0</v>
      </c>
      <c r="X405" s="77"/>
      <c r="Y405" s="77">
        <v>0</v>
      </c>
      <c r="Z405" s="77"/>
      <c r="AA405" s="77">
        <v>0</v>
      </c>
      <c r="AB405" s="77"/>
      <c r="AC405" s="77">
        <v>3000</v>
      </c>
      <c r="AD405" s="77"/>
      <c r="AE405" s="77">
        <v>0</v>
      </c>
      <c r="AF405" s="77"/>
      <c r="AG405" s="77">
        <v>0</v>
      </c>
      <c r="AH405" s="77"/>
      <c r="AI405" s="77">
        <f t="shared" si="15"/>
        <v>169573.00000000003</v>
      </c>
      <c r="AJ405" s="24"/>
      <c r="AK405" s="15" t="str">
        <f>'Gen Rev'!A405</f>
        <v>Milford Center</v>
      </c>
      <c r="AL405" s="15" t="str">
        <f t="shared" si="16"/>
        <v>Milford Center</v>
      </c>
      <c r="AM405" s="15" t="b">
        <f t="shared" si="17"/>
        <v>1</v>
      </c>
      <c r="AN405" s="31"/>
      <c r="AO405" s="31"/>
      <c r="AP405" s="31"/>
    </row>
    <row r="406" spans="1:42" ht="12" customHeight="1" x14ac:dyDescent="0.2">
      <c r="A406" s="1" t="s">
        <v>258</v>
      </c>
      <c r="B406" s="1"/>
      <c r="C406" s="1" t="s">
        <v>813</v>
      </c>
      <c r="E406" s="77">
        <v>20873.650000000001</v>
      </c>
      <c r="F406" s="77"/>
      <c r="G406" s="77">
        <v>204995.68</v>
      </c>
      <c r="H406" s="77"/>
      <c r="I406" s="77">
        <v>87447.26</v>
      </c>
      <c r="J406" s="77"/>
      <c r="K406" s="77">
        <v>31851.35</v>
      </c>
      <c r="L406" s="77"/>
      <c r="M406" s="77">
        <v>3614.85</v>
      </c>
      <c r="N406" s="77"/>
      <c r="O406" s="77">
        <v>18682.099999999999</v>
      </c>
      <c r="P406" s="77"/>
      <c r="Q406" s="77">
        <v>903.31</v>
      </c>
      <c r="R406" s="77"/>
      <c r="S406" s="77">
        <v>629.84</v>
      </c>
      <c r="T406" s="77"/>
      <c r="U406" s="77">
        <v>0</v>
      </c>
      <c r="V406" s="77"/>
      <c r="W406" s="77">
        <v>0</v>
      </c>
      <c r="X406" s="77"/>
      <c r="Y406" s="77">
        <v>0</v>
      </c>
      <c r="Z406" s="77"/>
      <c r="AA406" s="77">
        <v>186918.64</v>
      </c>
      <c r="AB406" s="77"/>
      <c r="AC406" s="77">
        <v>0</v>
      </c>
      <c r="AD406" s="77"/>
      <c r="AE406" s="77">
        <v>78094</v>
      </c>
      <c r="AF406" s="77"/>
      <c r="AG406" s="77">
        <v>0</v>
      </c>
      <c r="AH406" s="77"/>
      <c r="AI406" s="77">
        <f t="shared" si="15"/>
        <v>634010.67999999993</v>
      </c>
      <c r="AJ406" s="24"/>
      <c r="AK406" s="15" t="str">
        <f>'Gen Rev'!A406</f>
        <v>Millbury</v>
      </c>
      <c r="AL406" s="15" t="str">
        <f t="shared" si="16"/>
        <v>Millbury</v>
      </c>
      <c r="AM406" s="15" t="b">
        <f t="shared" si="17"/>
        <v>1</v>
      </c>
    </row>
    <row r="407" spans="1:42" ht="12" customHeight="1" x14ac:dyDescent="0.2">
      <c r="A407" s="10" t="s">
        <v>70</v>
      </c>
      <c r="B407" s="10"/>
      <c r="C407" s="10" t="s">
        <v>757</v>
      </c>
      <c r="E407" s="77">
        <v>11912.58</v>
      </c>
      <c r="F407" s="77"/>
      <c r="G407" s="77">
        <v>0</v>
      </c>
      <c r="H407" s="77"/>
      <c r="I407" s="77">
        <v>11850.37</v>
      </c>
      <c r="J407" s="77"/>
      <c r="K407" s="77">
        <v>0</v>
      </c>
      <c r="L407" s="77"/>
      <c r="M407" s="77">
        <v>0</v>
      </c>
      <c r="N407" s="77"/>
      <c r="O407" s="77">
        <v>0</v>
      </c>
      <c r="P407" s="77"/>
      <c r="Q407" s="77">
        <v>0</v>
      </c>
      <c r="R407" s="77"/>
      <c r="S407" s="77">
        <v>380</v>
      </c>
      <c r="T407" s="77"/>
      <c r="U407" s="77">
        <v>0</v>
      </c>
      <c r="V407" s="77"/>
      <c r="W407" s="77">
        <v>0</v>
      </c>
      <c r="X407" s="77"/>
      <c r="Y407" s="77">
        <v>0</v>
      </c>
      <c r="Z407" s="77"/>
      <c r="AA407" s="77">
        <v>0</v>
      </c>
      <c r="AB407" s="77"/>
      <c r="AC407" s="77">
        <v>0</v>
      </c>
      <c r="AD407" s="77"/>
      <c r="AE407" s="77">
        <v>675</v>
      </c>
      <c r="AF407" s="77"/>
      <c r="AG407" s="77">
        <v>0</v>
      </c>
      <c r="AH407" s="77"/>
      <c r="AI407" s="77">
        <f t="shared" si="15"/>
        <v>24817.95</v>
      </c>
      <c r="AJ407" s="24"/>
      <c r="AK407" s="15" t="str">
        <f>'Gen Rev'!A407</f>
        <v>Milledgeville</v>
      </c>
      <c r="AL407" s="15" t="str">
        <f t="shared" si="16"/>
        <v>Milledgeville</v>
      </c>
      <c r="AM407" s="15" t="b">
        <f t="shared" si="17"/>
        <v>1</v>
      </c>
    </row>
    <row r="408" spans="1:42" s="31" customFormat="1" ht="12" customHeight="1" x14ac:dyDescent="0.2">
      <c r="A408" s="1" t="s">
        <v>206</v>
      </c>
      <c r="B408" s="1"/>
      <c r="C408" s="1" t="s">
        <v>797</v>
      </c>
      <c r="D408" s="15"/>
      <c r="E408" s="77">
        <v>5979.33</v>
      </c>
      <c r="F408" s="77"/>
      <c r="G408" s="77">
        <v>39369.760000000002</v>
      </c>
      <c r="H408" s="77"/>
      <c r="I408" s="77">
        <v>56711.01</v>
      </c>
      <c r="J408" s="77"/>
      <c r="K408" s="77">
        <v>5998.71</v>
      </c>
      <c r="L408" s="77"/>
      <c r="M408" s="77">
        <v>683.99</v>
      </c>
      <c r="N408" s="77"/>
      <c r="O408" s="77">
        <v>680.04</v>
      </c>
      <c r="P408" s="77"/>
      <c r="Q408" s="77">
        <v>306.39999999999998</v>
      </c>
      <c r="R408" s="77"/>
      <c r="S408" s="77">
        <v>3305.56</v>
      </c>
      <c r="T408" s="77"/>
      <c r="U408" s="77">
        <v>0</v>
      </c>
      <c r="V408" s="77"/>
      <c r="W408" s="77">
        <v>0</v>
      </c>
      <c r="X408" s="77"/>
      <c r="Y408" s="77">
        <v>0</v>
      </c>
      <c r="Z408" s="77"/>
      <c r="AA408" s="77">
        <v>0</v>
      </c>
      <c r="AB408" s="77"/>
      <c r="AC408" s="77">
        <v>0</v>
      </c>
      <c r="AD408" s="77"/>
      <c r="AE408" s="77">
        <v>0</v>
      </c>
      <c r="AF408" s="77"/>
      <c r="AG408" s="77">
        <v>0</v>
      </c>
      <c r="AH408" s="77"/>
      <c r="AI408" s="77">
        <f t="shared" ref="AI408:AI474" si="18">SUM(E408:AG408)</f>
        <v>113034.8</v>
      </c>
      <c r="AJ408" s="24"/>
      <c r="AK408" s="15" t="str">
        <f>'Gen Rev'!A408</f>
        <v>Miller City</v>
      </c>
      <c r="AL408" s="15" t="str">
        <f t="shared" ref="AL408:AL474" si="19">A408</f>
        <v>Miller City</v>
      </c>
      <c r="AM408" s="15" t="b">
        <f t="shared" ref="AM408:AM474" si="20">AK408=AL408</f>
        <v>1</v>
      </c>
      <c r="AN408" s="15"/>
      <c r="AO408" s="15"/>
      <c r="AP408" s="15"/>
    </row>
    <row r="409" spans="1:42" ht="12" customHeight="1" x14ac:dyDescent="0.2">
      <c r="A409" s="1" t="s">
        <v>414</v>
      </c>
      <c r="B409" s="1"/>
      <c r="C409" s="1" t="s">
        <v>412</v>
      </c>
      <c r="E409" s="77">
        <v>248546.79</v>
      </c>
      <c r="F409" s="77"/>
      <c r="G409" s="77">
        <v>1094416.44</v>
      </c>
      <c r="H409" s="77"/>
      <c r="I409" s="77">
        <v>424883.97</v>
      </c>
      <c r="J409" s="77"/>
      <c r="K409" s="77">
        <v>0</v>
      </c>
      <c r="L409" s="77"/>
      <c r="M409" s="77">
        <v>29117.93</v>
      </c>
      <c r="N409" s="77"/>
      <c r="O409" s="77">
        <v>66153.81</v>
      </c>
      <c r="P409" s="77"/>
      <c r="Q409" s="77">
        <v>5117.21</v>
      </c>
      <c r="R409" s="77"/>
      <c r="S409" s="77">
        <v>21364.13</v>
      </c>
      <c r="T409" s="77"/>
      <c r="U409" s="77">
        <v>0</v>
      </c>
      <c r="V409" s="77"/>
      <c r="W409" s="77">
        <v>0</v>
      </c>
      <c r="X409" s="77"/>
      <c r="Y409" s="77">
        <v>0</v>
      </c>
      <c r="Z409" s="77"/>
      <c r="AA409" s="77">
        <v>130000</v>
      </c>
      <c r="AB409" s="77"/>
      <c r="AC409" s="77">
        <v>0</v>
      </c>
      <c r="AD409" s="77"/>
      <c r="AE409" s="77">
        <v>0</v>
      </c>
      <c r="AF409" s="77"/>
      <c r="AG409" s="77">
        <v>0</v>
      </c>
      <c r="AH409" s="77"/>
      <c r="AI409" s="77">
        <f t="shared" si="18"/>
        <v>2019600.2799999998</v>
      </c>
      <c r="AJ409" s="24"/>
      <c r="AK409" s="15" t="str">
        <f>'Gen Rev'!A409</f>
        <v>Millersburg</v>
      </c>
      <c r="AL409" s="15" t="str">
        <f t="shared" si="19"/>
        <v>Millersburg</v>
      </c>
      <c r="AM409" s="15" t="b">
        <f t="shared" si="20"/>
        <v>1</v>
      </c>
      <c r="AN409" s="30"/>
      <c r="AO409" s="30"/>
      <c r="AP409" s="30"/>
    </row>
    <row r="410" spans="1:42" ht="12" customHeight="1" x14ac:dyDescent="0.2">
      <c r="A410" s="1" t="s">
        <v>63</v>
      </c>
      <c r="B410" s="1"/>
      <c r="C410" s="1" t="s">
        <v>756</v>
      </c>
      <c r="E410" s="77">
        <v>230264.39</v>
      </c>
      <c r="F410" s="77"/>
      <c r="G410" s="77">
        <v>0</v>
      </c>
      <c r="H410" s="77"/>
      <c r="I410" s="77">
        <v>174340.41</v>
      </c>
      <c r="J410" s="77"/>
      <c r="K410" s="77">
        <v>0</v>
      </c>
      <c r="L410" s="77"/>
      <c r="M410" s="77">
        <v>852553.26</v>
      </c>
      <c r="N410" s="77"/>
      <c r="O410" s="77">
        <v>33824.6</v>
      </c>
      <c r="P410" s="77"/>
      <c r="Q410" s="77">
        <v>2652.05</v>
      </c>
      <c r="R410" s="77"/>
      <c r="S410" s="77">
        <v>14951.24</v>
      </c>
      <c r="T410" s="77"/>
      <c r="U410" s="77">
        <v>0</v>
      </c>
      <c r="V410" s="77"/>
      <c r="W410" s="77">
        <v>299114.87</v>
      </c>
      <c r="X410" s="77"/>
      <c r="Y410" s="77">
        <v>0</v>
      </c>
      <c r="Z410" s="77"/>
      <c r="AA410" s="77">
        <v>1269.8499999999999</v>
      </c>
      <c r="AB410" s="77"/>
      <c r="AC410" s="77">
        <v>0</v>
      </c>
      <c r="AD410" s="77"/>
      <c r="AE410" s="77">
        <v>249974.45</v>
      </c>
      <c r="AF410" s="77"/>
      <c r="AG410" s="77">
        <v>28704</v>
      </c>
      <c r="AH410" s="77"/>
      <c r="AI410" s="77">
        <f t="shared" si="18"/>
        <v>1887649.1200000003</v>
      </c>
      <c r="AJ410" s="24"/>
      <c r="AK410" s="15" t="str">
        <f>'Gen Rev'!A410</f>
        <v>Millersport</v>
      </c>
      <c r="AL410" s="15" t="str">
        <f t="shared" si="19"/>
        <v>Millersport</v>
      </c>
      <c r="AM410" s="15" t="b">
        <f t="shared" si="20"/>
        <v>1</v>
      </c>
    </row>
    <row r="411" spans="1:42" ht="12" hidden="1" customHeight="1" x14ac:dyDescent="0.2">
      <c r="A411" s="1" t="s">
        <v>26</v>
      </c>
      <c r="B411" s="1"/>
      <c r="C411" s="1" t="s">
        <v>518</v>
      </c>
      <c r="D411" s="31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>
        <f t="shared" si="18"/>
        <v>0</v>
      </c>
      <c r="AK411" s="15" t="str">
        <f>'Gen Rev'!A411</f>
        <v>Millville</v>
      </c>
      <c r="AL411" s="15" t="str">
        <f t="shared" si="19"/>
        <v>Millville</v>
      </c>
      <c r="AM411" s="15" t="b">
        <f t="shared" si="20"/>
        <v>1</v>
      </c>
      <c r="AN411" s="31"/>
      <c r="AO411" s="31"/>
      <c r="AP411" s="31"/>
    </row>
    <row r="412" spans="1:42" ht="12" customHeight="1" x14ac:dyDescent="0.2">
      <c r="A412" s="15" t="s">
        <v>681</v>
      </c>
      <c r="C412" s="15" t="s">
        <v>601</v>
      </c>
      <c r="E412" s="77">
        <v>7180</v>
      </c>
      <c r="F412" s="77"/>
      <c r="G412" s="77">
        <v>0</v>
      </c>
      <c r="H412" s="77"/>
      <c r="I412" s="77">
        <v>20557</v>
      </c>
      <c r="J412" s="77"/>
      <c r="K412" s="77">
        <v>2733</v>
      </c>
      <c r="L412" s="77"/>
      <c r="M412" s="77">
        <v>0</v>
      </c>
      <c r="N412" s="77"/>
      <c r="O412" s="77">
        <v>0</v>
      </c>
      <c r="P412" s="77"/>
      <c r="Q412" s="77">
        <v>32</v>
      </c>
      <c r="R412" s="77"/>
      <c r="S412" s="77">
        <v>20506</v>
      </c>
      <c r="T412" s="77"/>
      <c r="U412" s="77">
        <v>0</v>
      </c>
      <c r="V412" s="77"/>
      <c r="W412" s="77">
        <v>0</v>
      </c>
      <c r="X412" s="77"/>
      <c r="Y412" s="77">
        <v>0</v>
      </c>
      <c r="Z412" s="77"/>
      <c r="AA412" s="77">
        <v>0</v>
      </c>
      <c r="AB412" s="77"/>
      <c r="AC412" s="77">
        <v>0</v>
      </c>
      <c r="AD412" s="77"/>
      <c r="AE412" s="77">
        <v>0</v>
      </c>
      <c r="AF412" s="77"/>
      <c r="AG412" s="77">
        <v>0</v>
      </c>
      <c r="AH412" s="77"/>
      <c r="AI412" s="77">
        <f t="shared" si="18"/>
        <v>51008</v>
      </c>
      <c r="AJ412" s="24"/>
      <c r="AK412" s="15" t="str">
        <f>'Gen Rev'!A412</f>
        <v>Milton Center</v>
      </c>
      <c r="AL412" s="15" t="str">
        <f t="shared" si="19"/>
        <v>Milton Center</v>
      </c>
      <c r="AM412" s="15" t="b">
        <f t="shared" si="20"/>
        <v>1</v>
      </c>
      <c r="AN412" s="31"/>
      <c r="AO412" s="31"/>
      <c r="AP412" s="31"/>
    </row>
    <row r="413" spans="1:42" ht="12" customHeight="1" x14ac:dyDescent="0.2">
      <c r="A413" s="15" t="s">
        <v>476</v>
      </c>
      <c r="C413" s="15" t="s">
        <v>474</v>
      </c>
      <c r="E413" s="77">
        <v>961</v>
      </c>
      <c r="F413" s="77"/>
      <c r="G413" s="77">
        <v>0</v>
      </c>
      <c r="H413" s="77"/>
      <c r="I413" s="77">
        <v>5624</v>
      </c>
      <c r="J413" s="77"/>
      <c r="K413" s="77">
        <v>0</v>
      </c>
      <c r="L413" s="77"/>
      <c r="M413" s="77">
        <v>0</v>
      </c>
      <c r="N413" s="77"/>
      <c r="O413" s="77">
        <v>0</v>
      </c>
      <c r="P413" s="77"/>
      <c r="Q413" s="77">
        <v>18</v>
      </c>
      <c r="R413" s="77"/>
      <c r="S413" s="77">
        <v>0</v>
      </c>
      <c r="T413" s="77"/>
      <c r="U413" s="77">
        <v>0</v>
      </c>
      <c r="V413" s="77"/>
      <c r="W413" s="77">
        <v>0</v>
      </c>
      <c r="X413" s="77"/>
      <c r="Y413" s="77">
        <v>0</v>
      </c>
      <c r="Z413" s="77"/>
      <c r="AA413" s="77">
        <v>0</v>
      </c>
      <c r="AB413" s="77"/>
      <c r="AC413" s="77">
        <v>0</v>
      </c>
      <c r="AD413" s="77"/>
      <c r="AE413" s="77">
        <v>0</v>
      </c>
      <c r="AF413" s="77"/>
      <c r="AG413" s="77">
        <v>0</v>
      </c>
      <c r="AH413" s="77"/>
      <c r="AI413" s="77">
        <f t="shared" si="18"/>
        <v>6603</v>
      </c>
      <c r="AJ413" s="24"/>
      <c r="AK413" s="15" t="str">
        <f>'Gen Rev'!A413</f>
        <v>Miltonsburg</v>
      </c>
      <c r="AL413" s="15" t="str">
        <f t="shared" si="19"/>
        <v>Miltonsburg</v>
      </c>
      <c r="AM413" s="15" t="b">
        <f t="shared" si="20"/>
        <v>1</v>
      </c>
    </row>
    <row r="414" spans="1:42" s="31" customFormat="1" ht="12" customHeight="1" x14ac:dyDescent="0.2">
      <c r="A414" s="1" t="s">
        <v>234</v>
      </c>
      <c r="B414" s="1"/>
      <c r="C414" s="1" t="s">
        <v>806</v>
      </c>
      <c r="D414" s="15"/>
      <c r="E414" s="77">
        <v>61777.95</v>
      </c>
      <c r="F414" s="77"/>
      <c r="G414" s="77">
        <v>49426.14</v>
      </c>
      <c r="H414" s="77"/>
      <c r="I414" s="77">
        <v>71312.350000000006</v>
      </c>
      <c r="J414" s="77"/>
      <c r="K414" s="77">
        <v>0</v>
      </c>
      <c r="L414" s="77"/>
      <c r="M414" s="77">
        <v>29000</v>
      </c>
      <c r="N414" s="77"/>
      <c r="O414" s="77">
        <v>4613.47</v>
      </c>
      <c r="P414" s="77"/>
      <c r="Q414" s="77">
        <v>133.16</v>
      </c>
      <c r="R414" s="77"/>
      <c r="S414" s="77">
        <v>54783.31</v>
      </c>
      <c r="T414" s="77"/>
      <c r="U414" s="77">
        <v>0</v>
      </c>
      <c r="V414" s="77"/>
      <c r="W414" s="77">
        <v>0</v>
      </c>
      <c r="X414" s="77"/>
      <c r="Y414" s="77">
        <v>0</v>
      </c>
      <c r="Z414" s="77"/>
      <c r="AA414" s="77">
        <v>0</v>
      </c>
      <c r="AB414" s="77"/>
      <c r="AC414" s="77">
        <v>0</v>
      </c>
      <c r="AD414" s="77"/>
      <c r="AE414" s="77">
        <v>155778.82999999999</v>
      </c>
      <c r="AF414" s="77"/>
      <c r="AG414" s="77">
        <f>9278.09+21082.8</f>
        <v>30360.89</v>
      </c>
      <c r="AH414" s="77"/>
      <c r="AI414" s="77">
        <f t="shared" si="18"/>
        <v>457186.1</v>
      </c>
      <c r="AJ414" s="24"/>
      <c r="AK414" s="15" t="str">
        <f>'Gen Rev'!A414</f>
        <v>Mineral City</v>
      </c>
      <c r="AL414" s="15" t="str">
        <f t="shared" si="19"/>
        <v>Mineral City</v>
      </c>
      <c r="AM414" s="15" t="b">
        <f t="shared" si="20"/>
        <v>1</v>
      </c>
      <c r="AN414" s="15"/>
      <c r="AO414" s="15"/>
      <c r="AP414" s="15"/>
    </row>
    <row r="415" spans="1:42" ht="12" customHeight="1" x14ac:dyDescent="0.2">
      <c r="A415" s="15" t="s">
        <v>545</v>
      </c>
      <c r="C415" s="15" t="s">
        <v>540</v>
      </c>
      <c r="E415" s="77">
        <v>2582894</v>
      </c>
      <c r="F415" s="77"/>
      <c r="G415" s="77">
        <v>0</v>
      </c>
      <c r="H415" s="77"/>
      <c r="I415" s="77">
        <v>436508</v>
      </c>
      <c r="J415" s="77"/>
      <c r="K415" s="77">
        <v>0</v>
      </c>
      <c r="L415" s="77"/>
      <c r="M415" s="77">
        <v>37131</v>
      </c>
      <c r="N415" s="77"/>
      <c r="O415" s="77">
        <v>80260</v>
      </c>
      <c r="P415" s="77"/>
      <c r="Q415" s="77">
        <v>12504</v>
      </c>
      <c r="R415" s="77"/>
      <c r="S415" s="77">
        <v>647347</v>
      </c>
      <c r="T415" s="77"/>
      <c r="U415" s="77">
        <v>0</v>
      </c>
      <c r="V415" s="77"/>
      <c r="W415" s="77">
        <v>0</v>
      </c>
      <c r="X415" s="77"/>
      <c r="Y415" s="77">
        <v>0</v>
      </c>
      <c r="Z415" s="77"/>
      <c r="AA415" s="77">
        <v>0</v>
      </c>
      <c r="AB415" s="77"/>
      <c r="AC415" s="77">
        <v>0</v>
      </c>
      <c r="AD415" s="77"/>
      <c r="AE415" s="77">
        <v>2024965</v>
      </c>
      <c r="AF415" s="77"/>
      <c r="AG415" s="77">
        <v>0</v>
      </c>
      <c r="AH415" s="77"/>
      <c r="AI415" s="77">
        <f t="shared" si="18"/>
        <v>5821609</v>
      </c>
      <c r="AJ415" s="24"/>
      <c r="AK415" s="15" t="str">
        <f>'Gen Rev'!A415</f>
        <v xml:space="preserve">Minerva  </v>
      </c>
      <c r="AL415" s="15" t="str">
        <f t="shared" si="19"/>
        <v xml:space="preserve">Minerva  </v>
      </c>
      <c r="AM415" s="15" t="b">
        <f t="shared" si="20"/>
        <v>1</v>
      </c>
      <c r="AN415" s="31"/>
      <c r="AO415" s="31"/>
      <c r="AP415" s="31"/>
    </row>
    <row r="416" spans="1:42" ht="12" customHeight="1" x14ac:dyDescent="0.2">
      <c r="A416" s="15" t="s">
        <v>74</v>
      </c>
      <c r="C416" s="15" t="s">
        <v>353</v>
      </c>
      <c r="E416" s="77">
        <v>492321.6</v>
      </c>
      <c r="F416" s="77"/>
      <c r="G416" s="77">
        <v>266749.65999999997</v>
      </c>
      <c r="H416" s="77"/>
      <c r="I416" s="77">
        <v>203612.65</v>
      </c>
      <c r="J416" s="77"/>
      <c r="K416" s="77">
        <v>3472.91</v>
      </c>
      <c r="L416" s="77"/>
      <c r="M416" s="77">
        <v>193054.25</v>
      </c>
      <c r="N416" s="77"/>
      <c r="O416" s="77">
        <v>66047.88</v>
      </c>
      <c r="P416" s="77"/>
      <c r="Q416" s="77">
        <v>731</v>
      </c>
      <c r="R416" s="77"/>
      <c r="S416" s="77">
        <v>41451.660000000003</v>
      </c>
      <c r="T416" s="77"/>
      <c r="U416" s="77">
        <v>0</v>
      </c>
      <c r="V416" s="77"/>
      <c r="W416" s="77">
        <v>0</v>
      </c>
      <c r="X416" s="77"/>
      <c r="Y416" s="77">
        <v>0</v>
      </c>
      <c r="Z416" s="77"/>
      <c r="AA416" s="77">
        <v>5000</v>
      </c>
      <c r="AB416" s="77"/>
      <c r="AC416" s="77">
        <v>0</v>
      </c>
      <c r="AD416" s="77"/>
      <c r="AE416" s="77">
        <v>0</v>
      </c>
      <c r="AF416" s="77"/>
      <c r="AG416" s="77">
        <v>0</v>
      </c>
      <c r="AH416" s="77"/>
      <c r="AI416" s="77">
        <f t="shared" si="18"/>
        <v>1272441.6100000001</v>
      </c>
      <c r="AJ416" s="24"/>
      <c r="AK416" s="15" t="str">
        <f>'Gen Rev'!A416</f>
        <v>Minerva Park</v>
      </c>
      <c r="AL416" s="15" t="str">
        <f t="shared" si="19"/>
        <v>Minerva Park</v>
      </c>
      <c r="AM416" s="15" t="b">
        <f t="shared" si="20"/>
        <v>1</v>
      </c>
    </row>
    <row r="417" spans="1:42" ht="12" customHeight="1" x14ac:dyDescent="0.2">
      <c r="A417" s="15" t="s">
        <v>423</v>
      </c>
      <c r="C417" s="15" t="s">
        <v>420</v>
      </c>
      <c r="E417" s="77">
        <v>322531</v>
      </c>
      <c r="F417" s="77"/>
      <c r="G417" s="77">
        <v>830621</v>
      </c>
      <c r="H417" s="77"/>
      <c r="I417" s="77">
        <v>461831</v>
      </c>
      <c r="J417" s="77"/>
      <c r="K417" s="77">
        <v>0</v>
      </c>
      <c r="L417" s="77"/>
      <c r="M417" s="77">
        <v>144620</v>
      </c>
      <c r="N417" s="77"/>
      <c r="O417" s="77">
        <v>74346</v>
      </c>
      <c r="P417" s="77"/>
      <c r="Q417" s="77">
        <v>650</v>
      </c>
      <c r="R417" s="77"/>
      <c r="S417" s="77">
        <v>11999</v>
      </c>
      <c r="T417" s="77"/>
      <c r="U417" s="77">
        <v>0</v>
      </c>
      <c r="V417" s="77"/>
      <c r="W417" s="77">
        <v>0</v>
      </c>
      <c r="X417" s="77"/>
      <c r="Y417" s="77">
        <v>0</v>
      </c>
      <c r="Z417" s="77"/>
      <c r="AA417" s="77">
        <v>88144</v>
      </c>
      <c r="AB417" s="77"/>
      <c r="AC417" s="77">
        <v>0</v>
      </c>
      <c r="AD417" s="77"/>
      <c r="AE417" s="77">
        <v>6375</v>
      </c>
      <c r="AF417" s="77"/>
      <c r="AG417" s="77">
        <v>0</v>
      </c>
      <c r="AH417" s="77"/>
      <c r="AI417" s="77">
        <f t="shared" si="18"/>
        <v>1941117</v>
      </c>
      <c r="AJ417" s="24"/>
      <c r="AK417" s="15" t="str">
        <f>'Gen Rev'!A417</f>
        <v>Mingo Junction</v>
      </c>
      <c r="AL417" s="15" t="str">
        <f t="shared" si="19"/>
        <v>Mingo Junction</v>
      </c>
      <c r="AM417" s="15" t="b">
        <f t="shared" si="20"/>
        <v>1</v>
      </c>
      <c r="AN417" s="31"/>
      <c r="AO417" s="31"/>
      <c r="AP417" s="31"/>
    </row>
    <row r="418" spans="1:42" s="31" customFormat="1" ht="12" customHeight="1" x14ac:dyDescent="0.2">
      <c r="A418" s="15" t="s">
        <v>276</v>
      </c>
      <c r="B418" s="15"/>
      <c r="C418" s="15" t="s">
        <v>275</v>
      </c>
      <c r="D418" s="15"/>
      <c r="E418" s="77">
        <v>152259</v>
      </c>
      <c r="F418" s="77"/>
      <c r="G418" s="77">
        <v>5148425</v>
      </c>
      <c r="H418" s="77"/>
      <c r="I418" s="77">
        <v>1425390</v>
      </c>
      <c r="J418" s="77"/>
      <c r="K418" s="77">
        <v>55168</v>
      </c>
      <c r="L418" s="77"/>
      <c r="M418" s="77">
        <v>532037</v>
      </c>
      <c r="N418" s="77"/>
      <c r="O418" s="77">
        <v>12726</v>
      </c>
      <c r="P418" s="77"/>
      <c r="Q418" s="77">
        <v>18162</v>
      </c>
      <c r="R418" s="77"/>
      <c r="S418" s="77">
        <v>183180</v>
      </c>
      <c r="T418" s="77"/>
      <c r="U418" s="77">
        <v>0</v>
      </c>
      <c r="V418" s="77"/>
      <c r="W418" s="77">
        <v>2204329</v>
      </c>
      <c r="X418" s="77"/>
      <c r="Y418" s="77">
        <v>0</v>
      </c>
      <c r="Z418" s="77"/>
      <c r="AA418" s="77">
        <v>1971000</v>
      </c>
      <c r="AB418" s="77"/>
      <c r="AC418" s="77">
        <v>0</v>
      </c>
      <c r="AD418" s="77"/>
      <c r="AE418" s="77">
        <v>0</v>
      </c>
      <c r="AF418" s="77"/>
      <c r="AG418" s="77">
        <v>0</v>
      </c>
      <c r="AH418" s="77"/>
      <c r="AI418" s="77">
        <f t="shared" si="18"/>
        <v>11702676</v>
      </c>
      <c r="AJ418" s="24"/>
      <c r="AK418" s="15" t="str">
        <f>'Gen Rev'!A418</f>
        <v>Minster</v>
      </c>
      <c r="AL418" s="15" t="str">
        <f t="shared" si="19"/>
        <v>Minster</v>
      </c>
      <c r="AM418" s="15" t="b">
        <f t="shared" si="20"/>
        <v>1</v>
      </c>
      <c r="AN418" s="15"/>
      <c r="AO418" s="15"/>
      <c r="AP418" s="15"/>
    </row>
    <row r="419" spans="1:42" s="31" customFormat="1" ht="12" customHeight="1" x14ac:dyDescent="0.2">
      <c r="A419" s="15" t="s">
        <v>550</v>
      </c>
      <c r="B419" s="15"/>
      <c r="C419" s="15" t="s">
        <v>549</v>
      </c>
      <c r="D419" s="15"/>
      <c r="E419" s="77">
        <v>168523</v>
      </c>
      <c r="F419" s="77"/>
      <c r="G419" s="77">
        <v>2634922</v>
      </c>
      <c r="H419" s="77"/>
      <c r="I419" s="77">
        <v>1356629</v>
      </c>
      <c r="J419" s="77"/>
      <c r="K419" s="77">
        <v>0</v>
      </c>
      <c r="L419" s="77"/>
      <c r="M419" s="77">
        <v>117979</v>
      </c>
      <c r="N419" s="77"/>
      <c r="O419" s="77">
        <v>75981</v>
      </c>
      <c r="P419" s="77"/>
      <c r="Q419" s="77">
        <v>892</v>
      </c>
      <c r="R419" s="77"/>
      <c r="S419" s="77">
        <v>154495</v>
      </c>
      <c r="T419" s="77"/>
      <c r="U419" s="77">
        <v>0</v>
      </c>
      <c r="V419" s="77"/>
      <c r="W419" s="77">
        <v>893500</v>
      </c>
      <c r="X419" s="77"/>
      <c r="Y419" s="77">
        <v>0</v>
      </c>
      <c r="Z419" s="77"/>
      <c r="AA419" s="77">
        <v>2774476</v>
      </c>
      <c r="AB419" s="77"/>
      <c r="AC419" s="77">
        <v>0</v>
      </c>
      <c r="AD419" s="77"/>
      <c r="AE419" s="77">
        <v>0</v>
      </c>
      <c r="AF419" s="77"/>
      <c r="AG419" s="77">
        <v>0</v>
      </c>
      <c r="AH419" s="77"/>
      <c r="AI419" s="77">
        <f t="shared" si="18"/>
        <v>8177397</v>
      </c>
      <c r="AJ419" s="24"/>
      <c r="AK419" s="15" t="str">
        <f>'Gen Rev'!A419</f>
        <v>Mogadore</v>
      </c>
      <c r="AL419" s="15" t="str">
        <f t="shared" si="19"/>
        <v>Mogadore</v>
      </c>
      <c r="AM419" s="15" t="b">
        <f t="shared" si="20"/>
        <v>1</v>
      </c>
    </row>
    <row r="420" spans="1:42" ht="12" customHeight="1" x14ac:dyDescent="0.2">
      <c r="A420" s="15" t="s">
        <v>415</v>
      </c>
      <c r="C420" s="15" t="s">
        <v>416</v>
      </c>
      <c r="E420" s="77">
        <v>269775</v>
      </c>
      <c r="F420" s="77"/>
      <c r="G420" s="77">
        <v>422479</v>
      </c>
      <c r="H420" s="77"/>
      <c r="I420" s="77">
        <f>86793+79142</f>
        <v>165935</v>
      </c>
      <c r="J420" s="77"/>
      <c r="K420" s="77">
        <v>2814</v>
      </c>
      <c r="L420" s="77"/>
      <c r="M420" s="77">
        <v>14655</v>
      </c>
      <c r="N420" s="77"/>
      <c r="O420" s="77">
        <v>39162</v>
      </c>
      <c r="P420" s="77"/>
      <c r="Q420" s="77">
        <v>8135</v>
      </c>
      <c r="R420" s="77"/>
      <c r="S420" s="77">
        <v>24808</v>
      </c>
      <c r="T420" s="77"/>
      <c r="U420" s="77">
        <v>0</v>
      </c>
      <c r="V420" s="77"/>
      <c r="W420" s="77">
        <v>0</v>
      </c>
      <c r="X420" s="77"/>
      <c r="Y420" s="77">
        <v>0</v>
      </c>
      <c r="Z420" s="77"/>
      <c r="AA420" s="77">
        <v>74848</v>
      </c>
      <c r="AB420" s="77"/>
      <c r="AC420" s="77">
        <v>328334</v>
      </c>
      <c r="AD420" s="77"/>
      <c r="AE420" s="77">
        <v>1948</v>
      </c>
      <c r="AF420" s="77"/>
      <c r="AG420" s="77">
        <v>0</v>
      </c>
      <c r="AH420" s="77"/>
      <c r="AI420" s="77">
        <f t="shared" si="18"/>
        <v>1352893</v>
      </c>
      <c r="AJ420" s="24"/>
      <c r="AK420" s="15" t="str">
        <f>'Gen Rev'!A420</f>
        <v>Monroeville</v>
      </c>
      <c r="AL420" s="15" t="str">
        <f t="shared" si="19"/>
        <v>Monroeville</v>
      </c>
      <c r="AM420" s="15" t="b">
        <f t="shared" si="20"/>
        <v>1</v>
      </c>
      <c r="AN420" s="31"/>
      <c r="AO420" s="31"/>
      <c r="AP420" s="31"/>
    </row>
    <row r="421" spans="1:42" ht="12" customHeight="1" x14ac:dyDescent="0.2">
      <c r="A421" s="1" t="s">
        <v>160</v>
      </c>
      <c r="B421" s="1"/>
      <c r="C421" s="1" t="s">
        <v>783</v>
      </c>
      <c r="E421" s="77">
        <v>5708.28</v>
      </c>
      <c r="F421" s="77"/>
      <c r="G421" s="77">
        <v>0</v>
      </c>
      <c r="H421" s="77"/>
      <c r="I421" s="77">
        <v>20388.689999999999</v>
      </c>
      <c r="J421" s="77"/>
      <c r="K421" s="77">
        <v>6356.32</v>
      </c>
      <c r="L421" s="77"/>
      <c r="M421" s="77">
        <v>0</v>
      </c>
      <c r="N421" s="77"/>
      <c r="O421" s="77">
        <v>1863.2</v>
      </c>
      <c r="P421" s="77"/>
      <c r="Q421" s="77">
        <v>28.78</v>
      </c>
      <c r="R421" s="77"/>
      <c r="S421" s="77">
        <v>0</v>
      </c>
      <c r="T421" s="77"/>
      <c r="U421" s="77">
        <v>0</v>
      </c>
      <c r="V421" s="77"/>
      <c r="W421" s="77">
        <v>0</v>
      </c>
      <c r="X421" s="77"/>
      <c r="Y421" s="77">
        <v>0</v>
      </c>
      <c r="Z421" s="77"/>
      <c r="AA421" s="77">
        <v>0</v>
      </c>
      <c r="AB421" s="77"/>
      <c r="AC421" s="77">
        <v>0</v>
      </c>
      <c r="AD421" s="77"/>
      <c r="AE421" s="77">
        <v>0</v>
      </c>
      <c r="AF421" s="77"/>
      <c r="AG421" s="77">
        <v>0</v>
      </c>
      <c r="AH421" s="77"/>
      <c r="AI421" s="77">
        <f t="shared" si="18"/>
        <v>34345.269999999997</v>
      </c>
      <c r="AJ421" s="24"/>
      <c r="AK421" s="15" t="str">
        <f>'Gen Rev'!A421</f>
        <v>Montezuma</v>
      </c>
      <c r="AL421" s="15" t="str">
        <f t="shared" si="19"/>
        <v>Montezuma</v>
      </c>
      <c r="AM421" s="15" t="b">
        <f t="shared" si="20"/>
        <v>1</v>
      </c>
      <c r="AN421" s="30"/>
      <c r="AO421" s="30"/>
      <c r="AP421" s="30"/>
    </row>
    <row r="422" spans="1:42" ht="12" customHeight="1" x14ac:dyDescent="0.2">
      <c r="A422" s="15" t="s">
        <v>597</v>
      </c>
      <c r="C422" s="15" t="s">
        <v>596</v>
      </c>
      <c r="E422" s="77">
        <v>474469</v>
      </c>
      <c r="F422" s="77"/>
      <c r="G422" s="77">
        <v>1713682</v>
      </c>
      <c r="H422" s="77"/>
      <c r="I422" s="77">
        <v>742797</v>
      </c>
      <c r="J422" s="77"/>
      <c r="K422" s="77">
        <v>27252</v>
      </c>
      <c r="L422" s="77"/>
      <c r="M422" s="77">
        <v>453170</v>
      </c>
      <c r="N422" s="77"/>
      <c r="O422" s="77">
        <v>41789</v>
      </c>
      <c r="P422" s="77"/>
      <c r="Q422" s="77">
        <v>55589</v>
      </c>
      <c r="R422" s="77"/>
      <c r="S422" s="77">
        <v>53733</v>
      </c>
      <c r="T422" s="77"/>
      <c r="U422" s="77">
        <v>0</v>
      </c>
      <c r="V422" s="77"/>
      <c r="W422" s="77">
        <v>320000</v>
      </c>
      <c r="X422" s="77"/>
      <c r="Y422" s="77">
        <v>12124</v>
      </c>
      <c r="Z422" s="77"/>
      <c r="AA422" s="77">
        <v>200000</v>
      </c>
      <c r="AB422" s="77"/>
      <c r="AC422" s="77">
        <v>0</v>
      </c>
      <c r="AD422" s="77"/>
      <c r="AE422" s="77">
        <v>0</v>
      </c>
      <c r="AF422" s="77"/>
      <c r="AG422" s="77">
        <v>0</v>
      </c>
      <c r="AH422" s="77"/>
      <c r="AI422" s="77">
        <f t="shared" si="18"/>
        <v>4094605</v>
      </c>
      <c r="AJ422" s="24"/>
      <c r="AK422" s="15" t="str">
        <f>'Gen Rev'!A422</f>
        <v>Montpelier</v>
      </c>
      <c r="AL422" s="15" t="str">
        <f t="shared" si="19"/>
        <v>Montpelier</v>
      </c>
      <c r="AM422" s="15" t="b">
        <f t="shared" si="20"/>
        <v>1</v>
      </c>
    </row>
    <row r="423" spans="1:42" ht="12" customHeight="1" x14ac:dyDescent="0.2">
      <c r="A423" s="15" t="s">
        <v>323</v>
      </c>
      <c r="C423" s="15" t="s">
        <v>316</v>
      </c>
      <c r="E423" s="77">
        <v>1555720</v>
      </c>
      <c r="F423" s="77"/>
      <c r="G423" s="77">
        <v>2892842</v>
      </c>
      <c r="H423" s="77"/>
      <c r="I423" s="77">
        <v>632208</v>
      </c>
      <c r="J423" s="77"/>
      <c r="K423" s="77">
        <v>482672</v>
      </c>
      <c r="L423" s="77"/>
      <c r="M423" s="77">
        <v>21602</v>
      </c>
      <c r="N423" s="77"/>
      <c r="O423" s="77">
        <v>202106</v>
      </c>
      <c r="P423" s="77"/>
      <c r="Q423" s="77">
        <v>22058</v>
      </c>
      <c r="R423" s="77"/>
      <c r="S423" s="77">
        <v>195123</v>
      </c>
      <c r="T423" s="77"/>
      <c r="U423" s="77">
        <v>0</v>
      </c>
      <c r="V423" s="77"/>
      <c r="W423" s="77">
        <v>0</v>
      </c>
      <c r="X423" s="77"/>
      <c r="Y423" s="77">
        <v>0</v>
      </c>
      <c r="Z423" s="77"/>
      <c r="AA423" s="77">
        <v>2231047</v>
      </c>
      <c r="AB423" s="77"/>
      <c r="AC423" s="77">
        <v>0</v>
      </c>
      <c r="AD423" s="77"/>
      <c r="AE423" s="77">
        <v>0</v>
      </c>
      <c r="AF423" s="77"/>
      <c r="AG423" s="77">
        <v>0</v>
      </c>
      <c r="AH423" s="77"/>
      <c r="AI423" s="77">
        <f t="shared" si="18"/>
        <v>8235378</v>
      </c>
      <c r="AJ423" s="24"/>
      <c r="AK423" s="15" t="str">
        <f>'Gen Rev'!A423</f>
        <v>Moreland Hills</v>
      </c>
      <c r="AL423" s="15" t="str">
        <f t="shared" si="19"/>
        <v>Moreland Hills</v>
      </c>
      <c r="AM423" s="15" t="b">
        <f t="shared" si="20"/>
        <v>1</v>
      </c>
      <c r="AN423" s="32"/>
      <c r="AO423" s="32"/>
      <c r="AP423" s="32"/>
    </row>
    <row r="424" spans="1:42" ht="12" customHeight="1" x14ac:dyDescent="0.2">
      <c r="A424" s="1" t="s">
        <v>930</v>
      </c>
      <c r="B424" s="1"/>
      <c r="C424" s="1" t="s">
        <v>463</v>
      </c>
      <c r="E424" s="77">
        <v>11017.47</v>
      </c>
      <c r="F424" s="77"/>
      <c r="G424" s="77">
        <v>0</v>
      </c>
      <c r="H424" s="77"/>
      <c r="I424" s="77">
        <v>41101.71</v>
      </c>
      <c r="J424" s="77"/>
      <c r="K424" s="77">
        <v>0</v>
      </c>
      <c r="L424" s="77"/>
      <c r="M424" s="77">
        <v>0</v>
      </c>
      <c r="N424" s="77"/>
      <c r="O424" s="77">
        <v>7</v>
      </c>
      <c r="P424" s="77"/>
      <c r="Q424" s="77">
        <v>15.96</v>
      </c>
      <c r="R424" s="77"/>
      <c r="S424" s="77">
        <v>270.94</v>
      </c>
      <c r="T424" s="77"/>
      <c r="U424" s="77">
        <v>0</v>
      </c>
      <c r="V424" s="77"/>
      <c r="W424" s="77">
        <v>0</v>
      </c>
      <c r="X424" s="77"/>
      <c r="Y424" s="77">
        <v>0</v>
      </c>
      <c r="Z424" s="77"/>
      <c r="AA424" s="77">
        <v>0</v>
      </c>
      <c r="AB424" s="77"/>
      <c r="AC424" s="77">
        <v>0</v>
      </c>
      <c r="AD424" s="77"/>
      <c r="AE424" s="77">
        <v>0</v>
      </c>
      <c r="AF424" s="77"/>
      <c r="AG424" s="77">
        <v>1865.05</v>
      </c>
      <c r="AH424" s="77"/>
      <c r="AI424" s="77">
        <f t="shared" si="18"/>
        <v>54278.130000000005</v>
      </c>
      <c r="AJ424" s="24"/>
      <c r="AK424" s="15" t="str">
        <f>'Gen Rev'!A424</f>
        <v>Morral</v>
      </c>
      <c r="AL424" s="15" t="str">
        <f t="shared" si="19"/>
        <v>Morral</v>
      </c>
      <c r="AM424" s="15" t="b">
        <f t="shared" si="20"/>
        <v>1</v>
      </c>
    </row>
    <row r="425" spans="1:42" s="31" customFormat="1" ht="12" customHeight="1" x14ac:dyDescent="0.2">
      <c r="A425" s="1" t="s">
        <v>18</v>
      </c>
      <c r="B425" s="1"/>
      <c r="C425" s="1" t="s">
        <v>741</v>
      </c>
      <c r="D425" s="15"/>
      <c r="E425" s="77">
        <v>11845.6</v>
      </c>
      <c r="F425" s="77"/>
      <c r="G425" s="77">
        <v>0</v>
      </c>
      <c r="H425" s="77"/>
      <c r="I425" s="77">
        <v>49882.95</v>
      </c>
      <c r="J425" s="77"/>
      <c r="K425" s="77">
        <v>0</v>
      </c>
      <c r="L425" s="77"/>
      <c r="M425" s="77">
        <v>49069.54</v>
      </c>
      <c r="N425" s="77"/>
      <c r="O425" s="77">
        <v>0</v>
      </c>
      <c r="P425" s="77"/>
      <c r="Q425" s="77">
        <v>61.43</v>
      </c>
      <c r="R425" s="77"/>
      <c r="S425" s="77">
        <v>395349.65</v>
      </c>
      <c r="T425" s="77"/>
      <c r="U425" s="77">
        <v>0</v>
      </c>
      <c r="V425" s="77"/>
      <c r="W425" s="77">
        <v>0</v>
      </c>
      <c r="X425" s="77"/>
      <c r="Y425" s="77">
        <v>0</v>
      </c>
      <c r="Z425" s="77"/>
      <c r="AA425" s="77">
        <v>0</v>
      </c>
      <c r="AB425" s="77"/>
      <c r="AC425" s="77">
        <v>0</v>
      </c>
      <c r="AD425" s="77"/>
      <c r="AE425" s="77">
        <v>0</v>
      </c>
      <c r="AF425" s="77"/>
      <c r="AG425" s="77">
        <v>0</v>
      </c>
      <c r="AH425" s="77"/>
      <c r="AI425" s="77">
        <f t="shared" si="18"/>
        <v>506209.17000000004</v>
      </c>
      <c r="AJ425" s="24"/>
      <c r="AK425" s="15" t="str">
        <f>'Gen Rev'!A425</f>
        <v>Morristown</v>
      </c>
      <c r="AL425" s="15" t="str">
        <f t="shared" si="19"/>
        <v>Morristown</v>
      </c>
      <c r="AM425" s="15" t="b">
        <f t="shared" si="20"/>
        <v>1</v>
      </c>
      <c r="AN425" s="15"/>
      <c r="AO425" s="15"/>
      <c r="AP425" s="15"/>
    </row>
    <row r="426" spans="1:42" ht="12" customHeight="1" x14ac:dyDescent="0.2">
      <c r="A426" s="1" t="s">
        <v>243</v>
      </c>
      <c r="B426" s="1"/>
      <c r="C426" s="1" t="s">
        <v>809</v>
      </c>
      <c r="E426" s="77">
        <v>40879.730000000003</v>
      </c>
      <c r="F426" s="77"/>
      <c r="G426" s="77">
        <v>248371.38</v>
      </c>
      <c r="H426" s="77"/>
      <c r="I426" s="77">
        <v>71746.78</v>
      </c>
      <c r="J426" s="77"/>
      <c r="K426" s="77">
        <v>0</v>
      </c>
      <c r="L426" s="77"/>
      <c r="M426" s="77">
        <v>141574.85999999999</v>
      </c>
      <c r="N426" s="77"/>
      <c r="O426" s="77">
        <v>122887.51</v>
      </c>
      <c r="P426" s="77"/>
      <c r="Q426" s="77">
        <v>7873.76</v>
      </c>
      <c r="R426" s="77"/>
      <c r="S426" s="77">
        <v>20563.330000000002</v>
      </c>
      <c r="T426" s="77"/>
      <c r="U426" s="77">
        <v>0</v>
      </c>
      <c r="V426" s="77"/>
      <c r="W426" s="77">
        <v>0</v>
      </c>
      <c r="X426" s="77"/>
      <c r="Y426" s="77">
        <v>100825</v>
      </c>
      <c r="Z426" s="77"/>
      <c r="AA426" s="77">
        <v>0</v>
      </c>
      <c r="AB426" s="77"/>
      <c r="AC426" s="77">
        <v>0</v>
      </c>
      <c r="AD426" s="77"/>
      <c r="AE426" s="77">
        <v>19685</v>
      </c>
      <c r="AF426" s="77"/>
      <c r="AG426" s="77">
        <v>0</v>
      </c>
      <c r="AH426" s="77"/>
      <c r="AI426" s="77">
        <f t="shared" si="18"/>
        <v>774407.35</v>
      </c>
      <c r="AJ426" s="24"/>
      <c r="AK426" s="15" t="str">
        <f>'Gen Rev'!A426</f>
        <v>Morrow</v>
      </c>
      <c r="AL426" s="15" t="str">
        <f t="shared" si="19"/>
        <v>Morrow</v>
      </c>
      <c r="AM426" s="15" t="b">
        <f t="shared" si="20"/>
        <v>1</v>
      </c>
    </row>
    <row r="427" spans="1:42" s="31" customFormat="1" ht="12" customHeight="1" x14ac:dyDescent="0.2">
      <c r="A427" s="1" t="s">
        <v>298</v>
      </c>
      <c r="B427" s="1"/>
      <c r="C427" s="1" t="s">
        <v>295</v>
      </c>
      <c r="D427" s="15"/>
      <c r="E427" s="77">
        <v>164395.64000000001</v>
      </c>
      <c r="F427" s="77"/>
      <c r="G427" s="77">
        <v>34271.81</v>
      </c>
      <c r="H427" s="77"/>
      <c r="I427" s="77">
        <v>242592.63</v>
      </c>
      <c r="J427" s="77"/>
      <c r="K427" s="77">
        <v>0</v>
      </c>
      <c r="L427" s="77"/>
      <c r="M427" s="77">
        <v>5837.82</v>
      </c>
      <c r="N427" s="77"/>
      <c r="O427" s="77">
        <v>805.82</v>
      </c>
      <c r="P427" s="77"/>
      <c r="Q427" s="77">
        <v>6931.68</v>
      </c>
      <c r="R427" s="77"/>
      <c r="S427" s="77">
        <v>73508.38</v>
      </c>
      <c r="T427" s="77"/>
      <c r="U427" s="77">
        <v>0</v>
      </c>
      <c r="V427" s="77"/>
      <c r="W427" s="77">
        <v>0</v>
      </c>
      <c r="X427" s="77"/>
      <c r="Y427" s="77">
        <v>13000</v>
      </c>
      <c r="Z427" s="77"/>
      <c r="AA427" s="77">
        <v>0</v>
      </c>
      <c r="AB427" s="77"/>
      <c r="AC427" s="77">
        <v>0</v>
      </c>
      <c r="AD427" s="77"/>
      <c r="AE427" s="77">
        <v>0</v>
      </c>
      <c r="AF427" s="77"/>
      <c r="AG427" s="77">
        <v>645250.71</v>
      </c>
      <c r="AH427" s="77"/>
      <c r="AI427" s="77">
        <f t="shared" si="18"/>
        <v>1186594.49</v>
      </c>
      <c r="AJ427" s="24"/>
      <c r="AK427" s="15" t="str">
        <f>'Gen Rev'!A427</f>
        <v>Moscow</v>
      </c>
      <c r="AL427" s="15" t="str">
        <f t="shared" si="19"/>
        <v>Moscow</v>
      </c>
      <c r="AM427" s="15" t="b">
        <f t="shared" si="20"/>
        <v>1</v>
      </c>
      <c r="AN427" s="32"/>
      <c r="AO427" s="32"/>
      <c r="AP427" s="32"/>
    </row>
    <row r="428" spans="1:42" ht="12" customHeight="1" x14ac:dyDescent="0.2">
      <c r="A428" s="1" t="s">
        <v>249</v>
      </c>
      <c r="B428" s="1"/>
      <c r="C428" s="1" t="s">
        <v>811</v>
      </c>
      <c r="E428" s="77">
        <v>16734.48</v>
      </c>
      <c r="F428" s="77"/>
      <c r="G428" s="77">
        <v>75053.320000000007</v>
      </c>
      <c r="H428" s="77"/>
      <c r="I428" s="77">
        <v>30332.97</v>
      </c>
      <c r="J428" s="77"/>
      <c r="K428" s="77">
        <v>0</v>
      </c>
      <c r="L428" s="77"/>
      <c r="M428" s="77">
        <v>200</v>
      </c>
      <c r="N428" s="77"/>
      <c r="O428" s="77">
        <v>94449.2</v>
      </c>
      <c r="P428" s="77"/>
      <c r="Q428" s="77">
        <v>24.81</v>
      </c>
      <c r="R428" s="77"/>
      <c r="S428" s="77">
        <v>946.52</v>
      </c>
      <c r="T428" s="77"/>
      <c r="U428" s="77">
        <v>0</v>
      </c>
      <c r="V428" s="77"/>
      <c r="W428" s="77">
        <v>0</v>
      </c>
      <c r="X428" s="77"/>
      <c r="Y428" s="77">
        <v>0</v>
      </c>
      <c r="Z428" s="77"/>
      <c r="AA428" s="77">
        <v>15000</v>
      </c>
      <c r="AB428" s="77"/>
      <c r="AC428" s="77">
        <v>0</v>
      </c>
      <c r="AD428" s="77"/>
      <c r="AE428" s="77">
        <v>0</v>
      </c>
      <c r="AF428" s="77"/>
      <c r="AG428" s="77">
        <v>0</v>
      </c>
      <c r="AH428" s="77"/>
      <c r="AI428" s="77">
        <f t="shared" si="18"/>
        <v>232741.3</v>
      </c>
      <c r="AJ428" s="24"/>
      <c r="AK428" s="15" t="str">
        <f>'Gen Rev'!A428</f>
        <v>Mount Eaton</v>
      </c>
      <c r="AL428" s="15" t="str">
        <f t="shared" si="19"/>
        <v>Mount Eaton</v>
      </c>
      <c r="AM428" s="15" t="b">
        <f t="shared" si="20"/>
        <v>1</v>
      </c>
    </row>
    <row r="429" spans="1:42" ht="12" customHeight="1" x14ac:dyDescent="0.2">
      <c r="A429" s="1" t="s">
        <v>141</v>
      </c>
      <c r="B429" s="1"/>
      <c r="C429" s="1" t="s">
        <v>778</v>
      </c>
      <c r="E429" s="77">
        <v>22022.13</v>
      </c>
      <c r="F429" s="77"/>
      <c r="G429" s="77">
        <v>572789.69999999995</v>
      </c>
      <c r="H429" s="77"/>
      <c r="I429" s="77">
        <v>189055.86</v>
      </c>
      <c r="J429" s="77"/>
      <c r="K429" s="77">
        <v>2072.4</v>
      </c>
      <c r="L429" s="77"/>
      <c r="M429" s="77">
        <v>8</v>
      </c>
      <c r="N429" s="77"/>
      <c r="O429" s="77">
        <v>44497.73</v>
      </c>
      <c r="P429" s="77"/>
      <c r="Q429" s="77">
        <v>483.79</v>
      </c>
      <c r="R429" s="77"/>
      <c r="S429" s="77">
        <v>10174.9</v>
      </c>
      <c r="T429" s="77"/>
      <c r="U429" s="77">
        <v>0</v>
      </c>
      <c r="V429" s="77"/>
      <c r="W429" s="77">
        <v>0</v>
      </c>
      <c r="X429" s="77"/>
      <c r="Y429" s="77">
        <v>730</v>
      </c>
      <c r="Z429" s="77"/>
      <c r="AA429" s="77">
        <v>28004.65</v>
      </c>
      <c r="AB429" s="77"/>
      <c r="AC429" s="77">
        <v>0</v>
      </c>
      <c r="AD429" s="77"/>
      <c r="AE429" s="77">
        <v>0</v>
      </c>
      <c r="AF429" s="77"/>
      <c r="AG429" s="77">
        <v>10</v>
      </c>
      <c r="AH429" s="77"/>
      <c r="AI429" s="77">
        <f t="shared" si="18"/>
        <v>869849.16</v>
      </c>
      <c r="AJ429" s="37"/>
      <c r="AK429" s="15" t="str">
        <f>'Gen Rev'!A429</f>
        <v>Mount Sterling</v>
      </c>
      <c r="AL429" s="15" t="str">
        <f t="shared" si="19"/>
        <v>Mount Sterling</v>
      </c>
      <c r="AM429" s="15" t="b">
        <f t="shared" si="20"/>
        <v>1</v>
      </c>
      <c r="AN429" s="31"/>
      <c r="AO429" s="31"/>
      <c r="AP429" s="31"/>
    </row>
    <row r="430" spans="1:42" ht="12" customHeight="1" x14ac:dyDescent="0.2">
      <c r="A430" s="1" t="s">
        <v>99</v>
      </c>
      <c r="B430" s="1"/>
      <c r="C430" s="1" t="s">
        <v>764</v>
      </c>
      <c r="E430" s="77">
        <v>14187.29</v>
      </c>
      <c r="F430" s="77"/>
      <c r="G430" s="77">
        <v>0</v>
      </c>
      <c r="H430" s="77"/>
      <c r="I430" s="77">
        <v>43399.72</v>
      </c>
      <c r="J430" s="77"/>
      <c r="K430" s="77">
        <v>10875.03</v>
      </c>
      <c r="L430" s="77"/>
      <c r="M430" s="77">
        <v>0</v>
      </c>
      <c r="N430" s="77"/>
      <c r="O430" s="77">
        <v>3712.87</v>
      </c>
      <c r="P430" s="77"/>
      <c r="Q430" s="77">
        <v>1364.64</v>
      </c>
      <c r="R430" s="77"/>
      <c r="S430" s="77">
        <v>16646.77</v>
      </c>
      <c r="T430" s="77"/>
      <c r="U430" s="77">
        <v>0</v>
      </c>
      <c r="V430" s="77"/>
      <c r="W430" s="77">
        <v>0</v>
      </c>
      <c r="X430" s="77"/>
      <c r="Y430" s="77">
        <v>0</v>
      </c>
      <c r="Z430" s="77"/>
      <c r="AA430" s="77">
        <v>0</v>
      </c>
      <c r="AB430" s="77"/>
      <c r="AC430" s="77">
        <v>0</v>
      </c>
      <c r="AD430" s="77"/>
      <c r="AE430" s="77">
        <v>0</v>
      </c>
      <c r="AF430" s="77"/>
      <c r="AG430" s="77">
        <v>0</v>
      </c>
      <c r="AH430" s="77"/>
      <c r="AI430" s="77">
        <f t="shared" si="18"/>
        <v>90186.32</v>
      </c>
      <c r="AJ430" s="24"/>
      <c r="AK430" s="15" t="str">
        <f>'Gen Rev'!A430</f>
        <v>Mount Victory</v>
      </c>
      <c r="AL430" s="15" t="str">
        <f t="shared" si="19"/>
        <v>Mount Victory</v>
      </c>
      <c r="AM430" s="15" t="b">
        <f t="shared" si="20"/>
        <v>1</v>
      </c>
    </row>
    <row r="431" spans="1:42" ht="12" customHeight="1" x14ac:dyDescent="0.2">
      <c r="A431" s="1" t="s">
        <v>410</v>
      </c>
      <c r="B431" s="1"/>
      <c r="C431" s="1" t="s">
        <v>409</v>
      </c>
      <c r="E431" s="77">
        <v>39773.230000000003</v>
      </c>
      <c r="F431" s="77"/>
      <c r="G431" s="77">
        <v>0</v>
      </c>
      <c r="H431" s="77"/>
      <c r="I431" s="77">
        <v>43308.93</v>
      </c>
      <c r="J431" s="77"/>
      <c r="K431" s="77">
        <v>0</v>
      </c>
      <c r="L431" s="77"/>
      <c r="M431" s="77">
        <v>16105.63</v>
      </c>
      <c r="N431" s="77"/>
      <c r="O431" s="77">
        <v>6608.79</v>
      </c>
      <c r="P431" s="77"/>
      <c r="Q431" s="77">
        <v>0</v>
      </c>
      <c r="R431" s="77"/>
      <c r="S431" s="77">
        <v>13734.93</v>
      </c>
      <c r="T431" s="77"/>
      <c r="U431" s="77">
        <v>0</v>
      </c>
      <c r="V431" s="77"/>
      <c r="W431" s="77">
        <v>0</v>
      </c>
      <c r="X431" s="77"/>
      <c r="Y431" s="77">
        <v>0</v>
      </c>
      <c r="Z431" s="77"/>
      <c r="AA431" s="77">
        <v>0</v>
      </c>
      <c r="AB431" s="77"/>
      <c r="AC431" s="77">
        <v>10000</v>
      </c>
      <c r="AD431" s="77"/>
      <c r="AE431" s="77">
        <v>0</v>
      </c>
      <c r="AF431" s="77"/>
      <c r="AG431" s="77">
        <v>0</v>
      </c>
      <c r="AH431" s="77"/>
      <c r="AI431" s="77">
        <f t="shared" si="18"/>
        <v>129531.51000000001</v>
      </c>
      <c r="AJ431" s="24"/>
      <c r="AK431" s="15" t="str">
        <f>'Gen Rev'!A431</f>
        <v>Mowrystown</v>
      </c>
      <c r="AL431" s="15" t="str">
        <f t="shared" si="19"/>
        <v>Mowrystown</v>
      </c>
      <c r="AM431" s="15" t="b">
        <f t="shared" si="20"/>
        <v>1</v>
      </c>
    </row>
    <row r="432" spans="1:42" s="31" customFormat="1" ht="12" customHeight="1" x14ac:dyDescent="0.2">
      <c r="A432" s="1" t="s">
        <v>390</v>
      </c>
      <c r="B432" s="1"/>
      <c r="C432" s="1" t="s">
        <v>388</v>
      </c>
      <c r="D432" s="15"/>
      <c r="E432" s="77">
        <v>45269.14</v>
      </c>
      <c r="F432" s="77"/>
      <c r="G432" s="77">
        <v>0</v>
      </c>
      <c r="H432" s="77"/>
      <c r="I432" s="77">
        <v>50417.26</v>
      </c>
      <c r="J432" s="77"/>
      <c r="K432" s="77">
        <v>0</v>
      </c>
      <c r="L432" s="77"/>
      <c r="M432" s="77">
        <v>715</v>
      </c>
      <c r="N432" s="77"/>
      <c r="O432" s="77">
        <v>55</v>
      </c>
      <c r="P432" s="77"/>
      <c r="Q432" s="77">
        <v>117.01</v>
      </c>
      <c r="R432" s="77"/>
      <c r="S432" s="77">
        <v>15000</v>
      </c>
      <c r="T432" s="77"/>
      <c r="U432" s="77">
        <v>0</v>
      </c>
      <c r="V432" s="77"/>
      <c r="W432" s="77">
        <v>0</v>
      </c>
      <c r="X432" s="77"/>
      <c r="Y432" s="77">
        <v>0</v>
      </c>
      <c r="Z432" s="77"/>
      <c r="AA432" s="77">
        <v>2005</v>
      </c>
      <c r="AB432" s="77"/>
      <c r="AC432" s="77">
        <v>0</v>
      </c>
      <c r="AD432" s="77"/>
      <c r="AE432" s="77">
        <v>0</v>
      </c>
      <c r="AF432" s="77"/>
      <c r="AG432" s="77">
        <v>0</v>
      </c>
      <c r="AH432" s="77"/>
      <c r="AI432" s="77">
        <f t="shared" si="18"/>
        <v>113578.40999999999</v>
      </c>
      <c r="AJ432" s="24"/>
      <c r="AK432" s="15" t="str">
        <f>'Gen Rev'!A432</f>
        <v>Mt. Blanchard</v>
      </c>
      <c r="AL432" s="15" t="str">
        <f t="shared" si="19"/>
        <v>Mt. Blanchard</v>
      </c>
      <c r="AM432" s="15" t="b">
        <f t="shared" si="20"/>
        <v>1</v>
      </c>
      <c r="AN432" s="32"/>
      <c r="AO432" s="32"/>
      <c r="AP432" s="32"/>
    </row>
    <row r="433" spans="1:42" ht="12" customHeight="1" x14ac:dyDescent="0.2">
      <c r="A433" s="15" t="s">
        <v>391</v>
      </c>
      <c r="C433" s="15" t="s">
        <v>388</v>
      </c>
      <c r="E433" s="77">
        <v>18133</v>
      </c>
      <c r="F433" s="77"/>
      <c r="G433" s="77">
        <v>0</v>
      </c>
      <c r="H433" s="77"/>
      <c r="I433" s="77">
        <v>28668</v>
      </c>
      <c r="J433" s="77"/>
      <c r="K433" s="77">
        <v>0</v>
      </c>
      <c r="L433" s="77"/>
      <c r="M433" s="77">
        <v>1950</v>
      </c>
      <c r="N433" s="77"/>
      <c r="O433" s="77">
        <v>0</v>
      </c>
      <c r="P433" s="77"/>
      <c r="Q433" s="77">
        <v>323</v>
      </c>
      <c r="R433" s="77"/>
      <c r="S433" s="77">
        <v>2724</v>
      </c>
      <c r="T433" s="77"/>
      <c r="U433" s="77">
        <v>0</v>
      </c>
      <c r="V433" s="77"/>
      <c r="W433" s="77">
        <v>0</v>
      </c>
      <c r="X433" s="77"/>
      <c r="Y433" s="77">
        <v>0</v>
      </c>
      <c r="Z433" s="77"/>
      <c r="AA433" s="77">
        <v>0</v>
      </c>
      <c r="AB433" s="77"/>
      <c r="AC433" s="77">
        <v>0</v>
      </c>
      <c r="AD433" s="77"/>
      <c r="AE433" s="77">
        <v>0</v>
      </c>
      <c r="AF433" s="77"/>
      <c r="AG433" s="77">
        <v>0</v>
      </c>
      <c r="AH433" s="77"/>
      <c r="AI433" s="77">
        <f t="shared" si="18"/>
        <v>51798</v>
      </c>
      <c r="AJ433" s="24"/>
      <c r="AK433" s="15" t="str">
        <f>'Gen Rev'!A433</f>
        <v>Mt. Cory</v>
      </c>
      <c r="AL433" s="15" t="str">
        <f t="shared" si="19"/>
        <v>Mt. Cory</v>
      </c>
      <c r="AM433" s="15" t="b">
        <f t="shared" si="20"/>
        <v>1</v>
      </c>
    </row>
    <row r="434" spans="1:42" ht="12" customHeight="1" x14ac:dyDescent="0.2">
      <c r="A434" s="15" t="s">
        <v>962</v>
      </c>
      <c r="C434" s="15" t="s">
        <v>243</v>
      </c>
      <c r="E434" s="77">
        <v>182032</v>
      </c>
      <c r="F434" s="77"/>
      <c r="G434" s="77">
        <v>905167</v>
      </c>
      <c r="H434" s="77"/>
      <c r="I434" s="77">
        <v>246078</v>
      </c>
      <c r="J434" s="77"/>
      <c r="K434" s="77">
        <v>0</v>
      </c>
      <c r="L434" s="77"/>
      <c r="M434" s="77">
        <v>1911904</v>
      </c>
      <c r="N434" s="77"/>
      <c r="O434" s="77">
        <v>55995</v>
      </c>
      <c r="P434" s="77"/>
      <c r="Q434" s="77">
        <v>25259</v>
      </c>
      <c r="R434" s="77"/>
      <c r="S434" s="77">
        <v>371542</v>
      </c>
      <c r="T434" s="77"/>
      <c r="U434" s="77">
        <v>0</v>
      </c>
      <c r="V434" s="77"/>
      <c r="W434" s="77">
        <v>0</v>
      </c>
      <c r="X434" s="77"/>
      <c r="Y434" s="77">
        <v>0</v>
      </c>
      <c r="Z434" s="77"/>
      <c r="AA434" s="77">
        <v>1134195</v>
      </c>
      <c r="AB434" s="77"/>
      <c r="AC434" s="77">
        <v>0</v>
      </c>
      <c r="AD434" s="77"/>
      <c r="AE434" s="77">
        <v>0</v>
      </c>
      <c r="AF434" s="77"/>
      <c r="AG434" s="77">
        <v>0</v>
      </c>
      <c r="AH434" s="77"/>
      <c r="AI434" s="77">
        <f t="shared" si="18"/>
        <v>4832172</v>
      </c>
      <c r="AJ434" s="24"/>
      <c r="AK434" s="15" t="str">
        <f>'Gen Rev'!A434</f>
        <v>Mt. Gilead</v>
      </c>
      <c r="AL434" s="15" t="str">
        <f t="shared" si="19"/>
        <v>Mt. Gilead</v>
      </c>
      <c r="AM434" s="15" t="b">
        <f t="shared" si="20"/>
        <v>1</v>
      </c>
    </row>
    <row r="435" spans="1:42" ht="12" customHeight="1" x14ac:dyDescent="0.2">
      <c r="A435" s="1" t="s">
        <v>24</v>
      </c>
      <c r="B435" s="1"/>
      <c r="C435" s="1" t="s">
        <v>742</v>
      </c>
      <c r="E435" s="77">
        <v>307284.96000000002</v>
      </c>
      <c r="F435" s="77"/>
      <c r="G435" s="77">
        <v>909761.28</v>
      </c>
      <c r="H435" s="77"/>
      <c r="I435" s="77">
        <v>389171.43</v>
      </c>
      <c r="J435" s="77"/>
      <c r="K435" s="77">
        <v>86866.9</v>
      </c>
      <c r="L435" s="77"/>
      <c r="M435" s="77">
        <v>548111.25</v>
      </c>
      <c r="N435" s="77"/>
      <c r="O435" s="77">
        <v>157203.76999999999</v>
      </c>
      <c r="P435" s="77"/>
      <c r="Q435" s="77">
        <v>6937.59</v>
      </c>
      <c r="R435" s="77"/>
      <c r="S435" s="77">
        <v>555247.04</v>
      </c>
      <c r="T435" s="77"/>
      <c r="U435" s="77">
        <v>373737</v>
      </c>
      <c r="V435" s="77"/>
      <c r="W435" s="77">
        <v>4110000</v>
      </c>
      <c r="X435" s="77"/>
      <c r="Y435" s="77">
        <v>3615.57</v>
      </c>
      <c r="Z435" s="77"/>
      <c r="AA435" s="77">
        <v>393417.46</v>
      </c>
      <c r="AB435" s="77"/>
      <c r="AC435" s="77">
        <v>40685</v>
      </c>
      <c r="AD435" s="77"/>
      <c r="AE435" s="77">
        <f>2616.21+5600+20859.6</f>
        <v>29075.809999999998</v>
      </c>
      <c r="AF435" s="77"/>
      <c r="AG435" s="77">
        <v>624.41999999999996</v>
      </c>
      <c r="AH435" s="77"/>
      <c r="AI435" s="77">
        <f t="shared" si="18"/>
        <v>7911739.4799999995</v>
      </c>
      <c r="AJ435" s="24"/>
      <c r="AK435" s="15" t="str">
        <f>'Gen Rev'!A435</f>
        <v>Mt. Orab</v>
      </c>
      <c r="AL435" s="15" t="str">
        <f t="shared" si="19"/>
        <v>Mt. Orab</v>
      </c>
      <c r="AM435" s="15" t="b">
        <f t="shared" si="20"/>
        <v>1</v>
      </c>
    </row>
    <row r="436" spans="1:42" ht="12" customHeight="1" x14ac:dyDescent="0.2">
      <c r="A436" s="1" t="s">
        <v>112</v>
      </c>
      <c r="B436" s="1"/>
      <c r="C436" s="1" t="s">
        <v>768</v>
      </c>
      <c r="E436" s="77">
        <v>46855.360000000001</v>
      </c>
      <c r="F436" s="77"/>
      <c r="G436" s="77">
        <v>0</v>
      </c>
      <c r="H436" s="77"/>
      <c r="I436" s="77">
        <v>70569.990000000005</v>
      </c>
      <c r="J436" s="77"/>
      <c r="K436" s="77">
        <v>0</v>
      </c>
      <c r="L436" s="77"/>
      <c r="M436" s="77">
        <v>7324</v>
      </c>
      <c r="N436" s="77"/>
      <c r="O436" s="77">
        <v>8150.5</v>
      </c>
      <c r="P436" s="77"/>
      <c r="Q436" s="77">
        <v>73.650000000000006</v>
      </c>
      <c r="R436" s="77"/>
      <c r="S436" s="77">
        <v>1382.04</v>
      </c>
      <c r="T436" s="77"/>
      <c r="U436" s="77">
        <v>0</v>
      </c>
      <c r="V436" s="77"/>
      <c r="W436" s="77">
        <v>0</v>
      </c>
      <c r="X436" s="77"/>
      <c r="Y436" s="77">
        <v>0</v>
      </c>
      <c r="Z436" s="77"/>
      <c r="AA436" s="77">
        <v>0</v>
      </c>
      <c r="AB436" s="77"/>
      <c r="AC436" s="77">
        <v>0</v>
      </c>
      <c r="AD436" s="77"/>
      <c r="AE436" s="77">
        <v>0</v>
      </c>
      <c r="AF436" s="77"/>
      <c r="AG436" s="77">
        <v>0</v>
      </c>
      <c r="AH436" s="77"/>
      <c r="AI436" s="77">
        <f t="shared" si="18"/>
        <v>134355.54</v>
      </c>
      <c r="AJ436" s="24"/>
      <c r="AK436" s="15" t="str">
        <f>'Gen Rev'!A436</f>
        <v>Murray City</v>
      </c>
      <c r="AL436" s="15" t="str">
        <f t="shared" si="19"/>
        <v>Murray City</v>
      </c>
      <c r="AM436" s="15" t="b">
        <f t="shared" si="20"/>
        <v>1</v>
      </c>
    </row>
    <row r="437" spans="1:42" ht="12" customHeight="1" x14ac:dyDescent="0.2">
      <c r="A437" s="1" t="s">
        <v>288</v>
      </c>
      <c r="B437" s="1"/>
      <c r="C437" s="1" t="s">
        <v>287</v>
      </c>
      <c r="E437" s="77">
        <v>4628.28</v>
      </c>
      <c r="F437" s="77"/>
      <c r="G437" s="77">
        <v>0</v>
      </c>
      <c r="H437" s="77"/>
      <c r="I437" s="77">
        <v>9816.2199999999993</v>
      </c>
      <c r="J437" s="77"/>
      <c r="K437" s="77">
        <v>0</v>
      </c>
      <c r="L437" s="77"/>
      <c r="M437" s="77">
        <v>0</v>
      </c>
      <c r="N437" s="77"/>
      <c r="O437" s="77">
        <v>25</v>
      </c>
      <c r="P437" s="77"/>
      <c r="Q437" s="77">
        <v>50.23</v>
      </c>
      <c r="R437" s="77"/>
      <c r="S437" s="77">
        <v>0</v>
      </c>
      <c r="T437" s="77"/>
      <c r="U437" s="77">
        <v>0</v>
      </c>
      <c r="V437" s="77"/>
      <c r="W437" s="77">
        <v>0</v>
      </c>
      <c r="X437" s="77"/>
      <c r="Y437" s="77">
        <v>0</v>
      </c>
      <c r="Z437" s="77"/>
      <c r="AA437" s="77">
        <v>0</v>
      </c>
      <c r="AB437" s="77"/>
      <c r="AC437" s="77">
        <v>0</v>
      </c>
      <c r="AD437" s="77"/>
      <c r="AE437" s="77">
        <v>0</v>
      </c>
      <c r="AF437" s="77"/>
      <c r="AG437" s="77">
        <v>0</v>
      </c>
      <c r="AH437" s="77"/>
      <c r="AI437" s="77">
        <f t="shared" si="18"/>
        <v>14519.73</v>
      </c>
      <c r="AJ437" s="24"/>
      <c r="AK437" s="15" t="str">
        <f>'Gen Rev'!A437</f>
        <v>Mutual</v>
      </c>
      <c r="AL437" s="15" t="str">
        <f t="shared" si="19"/>
        <v>Mutual</v>
      </c>
      <c r="AM437" s="15" t="b">
        <f t="shared" si="20"/>
        <v>1</v>
      </c>
    </row>
    <row r="438" spans="1:42" ht="12" customHeight="1" x14ac:dyDescent="0.2">
      <c r="A438" s="1" t="s">
        <v>931</v>
      </c>
      <c r="B438" s="1"/>
      <c r="C438" s="1" t="s">
        <v>412</v>
      </c>
      <c r="E438" s="77">
        <v>2681.34</v>
      </c>
      <c r="F438" s="77"/>
      <c r="G438" s="77">
        <v>0</v>
      </c>
      <c r="H438" s="77"/>
      <c r="I438" s="77">
        <v>33375.57</v>
      </c>
      <c r="J438" s="77"/>
      <c r="K438" s="77">
        <v>0</v>
      </c>
      <c r="L438" s="77"/>
      <c r="M438" s="77">
        <v>0</v>
      </c>
      <c r="N438" s="77"/>
      <c r="O438" s="77">
        <v>5531.45</v>
      </c>
      <c r="P438" s="77"/>
      <c r="Q438" s="77">
        <v>0</v>
      </c>
      <c r="R438" s="77"/>
      <c r="S438" s="77">
        <v>0</v>
      </c>
      <c r="T438" s="77"/>
      <c r="U438" s="77">
        <v>0</v>
      </c>
      <c r="V438" s="77"/>
      <c r="W438" s="77">
        <v>0</v>
      </c>
      <c r="X438" s="77"/>
      <c r="Y438" s="77">
        <v>0</v>
      </c>
      <c r="Z438" s="77"/>
      <c r="AA438" s="77">
        <v>0</v>
      </c>
      <c r="AB438" s="77"/>
      <c r="AC438" s="77">
        <v>0</v>
      </c>
      <c r="AD438" s="77"/>
      <c r="AE438" s="77">
        <v>0</v>
      </c>
      <c r="AF438" s="77"/>
      <c r="AG438" s="77">
        <v>9088.5</v>
      </c>
      <c r="AH438" s="77"/>
      <c r="AI438" s="77">
        <f t="shared" si="18"/>
        <v>50676.86</v>
      </c>
      <c r="AJ438" s="24"/>
      <c r="AK438" s="15" t="str">
        <f>'Gen Rev'!A438</f>
        <v>Nashville</v>
      </c>
      <c r="AL438" s="15" t="str">
        <f t="shared" si="19"/>
        <v>Nashville</v>
      </c>
      <c r="AM438" s="15" t="b">
        <f t="shared" si="20"/>
        <v>1</v>
      </c>
    </row>
    <row r="439" spans="1:42" ht="12" customHeight="1" x14ac:dyDescent="0.2">
      <c r="A439" s="15" t="s">
        <v>546</v>
      </c>
      <c r="C439" s="15" t="s">
        <v>540</v>
      </c>
      <c r="E439" s="77">
        <v>90892</v>
      </c>
      <c r="F439" s="77"/>
      <c r="G439" s="77">
        <v>893203</v>
      </c>
      <c r="H439" s="77"/>
      <c r="I439" s="77">
        <v>148725</v>
      </c>
      <c r="J439" s="77"/>
      <c r="K439" s="77">
        <v>0</v>
      </c>
      <c r="L439" s="77"/>
      <c r="M439" s="77">
        <v>102610</v>
      </c>
      <c r="N439" s="77"/>
      <c r="O439" s="77">
        <v>6311</v>
      </c>
      <c r="P439" s="77"/>
      <c r="Q439" s="77">
        <v>1782</v>
      </c>
      <c r="R439" s="77"/>
      <c r="S439" s="77">
        <f>25770+875</f>
        <v>26645</v>
      </c>
      <c r="T439" s="77"/>
      <c r="U439" s="77">
        <v>0</v>
      </c>
      <c r="V439" s="77"/>
      <c r="W439" s="77">
        <v>0</v>
      </c>
      <c r="X439" s="77"/>
      <c r="Y439" s="77">
        <v>0</v>
      </c>
      <c r="Z439" s="77"/>
      <c r="AA439" s="77">
        <v>865834</v>
      </c>
      <c r="AB439" s="77"/>
      <c r="AC439" s="77">
        <v>0</v>
      </c>
      <c r="AD439" s="77"/>
      <c r="AE439" s="77">
        <v>0</v>
      </c>
      <c r="AF439" s="77"/>
      <c r="AG439" s="77">
        <v>0</v>
      </c>
      <c r="AH439" s="77"/>
      <c r="AI439" s="77">
        <f t="shared" si="18"/>
        <v>2136002</v>
      </c>
      <c r="AJ439" s="24"/>
      <c r="AK439" s="15" t="str">
        <f>'Gen Rev'!A439</f>
        <v>Navarre</v>
      </c>
      <c r="AL439" s="15" t="str">
        <f t="shared" si="19"/>
        <v>Navarre</v>
      </c>
      <c r="AM439" s="15" t="b">
        <f t="shared" si="20"/>
        <v>1</v>
      </c>
    </row>
    <row r="440" spans="1:42" s="31" customFormat="1" ht="12" customHeight="1" x14ac:dyDescent="0.2">
      <c r="A440" s="15" t="s">
        <v>309</v>
      </c>
      <c r="B440" s="15"/>
      <c r="C440" s="15" t="s">
        <v>308</v>
      </c>
      <c r="D440" s="15"/>
      <c r="E440" s="77">
        <v>18183</v>
      </c>
      <c r="F440" s="77"/>
      <c r="G440" s="77">
        <v>0</v>
      </c>
      <c r="H440" s="77"/>
      <c r="I440" s="77">
        <v>0</v>
      </c>
      <c r="J440" s="77"/>
      <c r="K440" s="77">
        <v>13192</v>
      </c>
      <c r="L440" s="77"/>
      <c r="M440" s="77">
        <v>0</v>
      </c>
      <c r="N440" s="77"/>
      <c r="O440" s="77">
        <v>0</v>
      </c>
      <c r="P440" s="77"/>
      <c r="Q440" s="77">
        <v>4</v>
      </c>
      <c r="R440" s="77"/>
      <c r="S440" s="77">
        <v>0</v>
      </c>
      <c r="T440" s="77"/>
      <c r="U440" s="77">
        <v>0</v>
      </c>
      <c r="V440" s="77"/>
      <c r="W440" s="77">
        <v>0</v>
      </c>
      <c r="X440" s="77"/>
      <c r="Y440" s="77">
        <v>0</v>
      </c>
      <c r="Z440" s="77"/>
      <c r="AA440" s="77">
        <v>0</v>
      </c>
      <c r="AB440" s="77"/>
      <c r="AC440" s="77">
        <v>0</v>
      </c>
      <c r="AD440" s="77"/>
      <c r="AE440" s="77">
        <v>0</v>
      </c>
      <c r="AF440" s="77"/>
      <c r="AG440" s="77">
        <v>0</v>
      </c>
      <c r="AH440" s="77"/>
      <c r="AI440" s="77">
        <f t="shared" si="18"/>
        <v>31379</v>
      </c>
      <c r="AJ440" s="24"/>
      <c r="AK440" s="15" t="str">
        <f>'Gen Rev'!A440</f>
        <v>Nellie</v>
      </c>
      <c r="AL440" s="15" t="str">
        <f t="shared" si="19"/>
        <v>Nellie</v>
      </c>
      <c r="AM440" s="15" t="b">
        <f t="shared" si="20"/>
        <v>1</v>
      </c>
      <c r="AN440" s="32"/>
      <c r="AO440" s="32"/>
      <c r="AP440" s="32"/>
    </row>
    <row r="441" spans="1:42" ht="12" customHeight="1" x14ac:dyDescent="0.2">
      <c r="A441" s="15" t="s">
        <v>610</v>
      </c>
      <c r="C441" s="15" t="s">
        <v>609</v>
      </c>
      <c r="E441" s="77">
        <v>26429</v>
      </c>
      <c r="F441" s="77"/>
      <c r="G441" s="77">
        <v>0</v>
      </c>
      <c r="H441" s="77"/>
      <c r="I441" s="77">
        <v>55320</v>
      </c>
      <c r="J441" s="77"/>
      <c r="K441" s="77">
        <v>0</v>
      </c>
      <c r="L441" s="77"/>
      <c r="M441" s="77">
        <v>0</v>
      </c>
      <c r="N441" s="77"/>
      <c r="O441" s="77">
        <v>597</v>
      </c>
      <c r="P441" s="77"/>
      <c r="Q441" s="77">
        <v>0</v>
      </c>
      <c r="R441" s="77"/>
      <c r="S441" s="77">
        <v>65</v>
      </c>
      <c r="T441" s="77"/>
      <c r="U441" s="77">
        <v>0</v>
      </c>
      <c r="V441" s="77"/>
      <c r="W441" s="77">
        <v>0</v>
      </c>
      <c r="X441" s="77"/>
      <c r="Y441" s="77">
        <v>0</v>
      </c>
      <c r="Z441" s="77"/>
      <c r="AA441" s="77">
        <v>85320</v>
      </c>
      <c r="AB441" s="77"/>
      <c r="AC441" s="77">
        <v>0</v>
      </c>
      <c r="AD441" s="77"/>
      <c r="AE441" s="77">
        <v>53</v>
      </c>
      <c r="AF441" s="77"/>
      <c r="AG441" s="77">
        <v>0</v>
      </c>
      <c r="AH441" s="77"/>
      <c r="AI441" s="77">
        <f t="shared" si="18"/>
        <v>167784</v>
      </c>
      <c r="AJ441" s="24"/>
      <c r="AK441" s="15" t="str">
        <f>'Gen Rev'!A441</f>
        <v>Nevada</v>
      </c>
      <c r="AL441" s="15" t="str">
        <f t="shared" si="19"/>
        <v>Nevada</v>
      </c>
      <c r="AM441" s="15" t="b">
        <f t="shared" si="20"/>
        <v>1</v>
      </c>
    </row>
    <row r="442" spans="1:42" s="31" customFormat="1" ht="12" customHeight="1" x14ac:dyDescent="0.2">
      <c r="A442" s="1" t="s">
        <v>37</v>
      </c>
      <c r="B442" s="1"/>
      <c r="C442" s="1" t="s">
        <v>747</v>
      </c>
      <c r="D442" s="15"/>
      <c r="E442" s="77">
        <v>2420.2399999999998</v>
      </c>
      <c r="F442" s="77"/>
      <c r="G442" s="77">
        <v>0</v>
      </c>
      <c r="H442" s="77"/>
      <c r="I442" s="77">
        <v>20320.72</v>
      </c>
      <c r="J442" s="77"/>
      <c r="K442" s="77">
        <v>0</v>
      </c>
      <c r="L442" s="77"/>
      <c r="M442" s="77">
        <v>5580</v>
      </c>
      <c r="N442" s="77"/>
      <c r="O442" s="77">
        <v>0</v>
      </c>
      <c r="P442" s="77"/>
      <c r="Q442" s="77">
        <v>183.48</v>
      </c>
      <c r="R442" s="77"/>
      <c r="S442" s="77">
        <v>0</v>
      </c>
      <c r="T442" s="77"/>
      <c r="U442" s="77">
        <v>0</v>
      </c>
      <c r="V442" s="77"/>
      <c r="W442" s="77">
        <v>0</v>
      </c>
      <c r="X442" s="77"/>
      <c r="Y442" s="77">
        <v>0</v>
      </c>
      <c r="Z442" s="77"/>
      <c r="AA442" s="77">
        <v>0</v>
      </c>
      <c r="AB442" s="77"/>
      <c r="AC442" s="77">
        <v>0</v>
      </c>
      <c r="AD442" s="77"/>
      <c r="AE442" s="77">
        <v>0</v>
      </c>
      <c r="AF442" s="77"/>
      <c r="AG442" s="77">
        <v>0</v>
      </c>
      <c r="AH442" s="77"/>
      <c r="AI442" s="77">
        <f t="shared" si="18"/>
        <v>28504.44</v>
      </c>
      <c r="AJ442" s="24"/>
      <c r="AK442" s="15" t="str">
        <f>'Gen Rev'!A442</f>
        <v>Neville</v>
      </c>
      <c r="AL442" s="15" t="str">
        <f t="shared" si="19"/>
        <v>Neville</v>
      </c>
      <c r="AM442" s="15" t="b">
        <f t="shared" si="20"/>
        <v>1</v>
      </c>
    </row>
    <row r="443" spans="1:42" s="31" customFormat="1" ht="12" hidden="1" customHeight="1" x14ac:dyDescent="0.2">
      <c r="A443" s="1" t="s">
        <v>355</v>
      </c>
      <c r="B443" s="1"/>
      <c r="C443" s="1" t="s">
        <v>353</v>
      </c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>
        <f t="shared" si="18"/>
        <v>0</v>
      </c>
      <c r="AJ443" s="15"/>
      <c r="AK443" s="15" t="str">
        <f>'Gen Rev'!A443</f>
        <v>New Albany</v>
      </c>
      <c r="AL443" s="15" t="str">
        <f t="shared" si="19"/>
        <v>New Albany</v>
      </c>
      <c r="AM443" s="15" t="b">
        <f t="shared" si="20"/>
        <v>1</v>
      </c>
    </row>
    <row r="444" spans="1:42" ht="12" customHeight="1" x14ac:dyDescent="0.2">
      <c r="A444" s="1" t="s">
        <v>103</v>
      </c>
      <c r="B444" s="1"/>
      <c r="C444" s="1" t="s">
        <v>765</v>
      </c>
      <c r="E444" s="77">
        <v>24213.34</v>
      </c>
      <c r="F444" s="77"/>
      <c r="G444" s="77">
        <v>0</v>
      </c>
      <c r="H444" s="77"/>
      <c r="I444" s="77">
        <v>38422.89</v>
      </c>
      <c r="J444" s="77"/>
      <c r="K444" s="77">
        <v>0</v>
      </c>
      <c r="L444" s="77"/>
      <c r="M444" s="77">
        <v>0</v>
      </c>
      <c r="N444" s="77"/>
      <c r="O444" s="77">
        <v>9855.5</v>
      </c>
      <c r="P444" s="77"/>
      <c r="Q444" s="77">
        <v>60.69</v>
      </c>
      <c r="R444" s="77"/>
      <c r="S444" s="77">
        <v>504.03</v>
      </c>
      <c r="T444" s="77"/>
      <c r="U444" s="77">
        <v>0</v>
      </c>
      <c r="V444" s="77"/>
      <c r="W444" s="77">
        <v>0</v>
      </c>
      <c r="X444" s="77"/>
      <c r="Y444" s="77">
        <v>0</v>
      </c>
      <c r="Z444" s="77"/>
      <c r="AA444" s="77">
        <v>0</v>
      </c>
      <c r="AB444" s="77"/>
      <c r="AC444" s="77">
        <v>2933.04</v>
      </c>
      <c r="AD444" s="77"/>
      <c r="AE444" s="77">
        <v>5333.78</v>
      </c>
      <c r="AF444" s="77"/>
      <c r="AG444" s="77">
        <v>0</v>
      </c>
      <c r="AH444" s="77"/>
      <c r="AI444" s="77">
        <f t="shared" si="18"/>
        <v>81323.26999999999</v>
      </c>
      <c r="AJ444" s="24"/>
      <c r="AK444" s="15" t="str">
        <f>'Gen Rev'!A444</f>
        <v>New Athens</v>
      </c>
      <c r="AL444" s="15" t="str">
        <f t="shared" si="19"/>
        <v>New Athens</v>
      </c>
      <c r="AM444" s="15" t="b">
        <f t="shared" si="20"/>
        <v>1</v>
      </c>
      <c r="AN444" s="31"/>
      <c r="AO444" s="31"/>
      <c r="AP444" s="31"/>
    </row>
    <row r="445" spans="1:42" ht="12" customHeight="1" x14ac:dyDescent="0.2">
      <c r="A445" s="1" t="s">
        <v>109</v>
      </c>
      <c r="B445" s="1"/>
      <c r="C445" s="1" t="s">
        <v>766</v>
      </c>
      <c r="E445" s="77">
        <v>5832.03</v>
      </c>
      <c r="F445" s="77"/>
      <c r="G445" s="77">
        <v>13729.66</v>
      </c>
      <c r="H445" s="77"/>
      <c r="I445" s="77">
        <v>7563.84</v>
      </c>
      <c r="J445" s="77"/>
      <c r="K445" s="77">
        <v>0</v>
      </c>
      <c r="L445" s="77"/>
      <c r="M445" s="77">
        <v>780</v>
      </c>
      <c r="N445" s="77"/>
      <c r="O445" s="77">
        <v>0</v>
      </c>
      <c r="P445" s="77"/>
      <c r="Q445" s="77">
        <v>6.68</v>
      </c>
      <c r="R445" s="77"/>
      <c r="S445" s="77">
        <v>1240</v>
      </c>
      <c r="T445" s="77"/>
      <c r="U445" s="77">
        <v>0</v>
      </c>
      <c r="V445" s="77"/>
      <c r="W445" s="77">
        <v>0</v>
      </c>
      <c r="X445" s="77"/>
      <c r="Y445" s="77">
        <v>0</v>
      </c>
      <c r="Z445" s="77"/>
      <c r="AA445" s="77">
        <v>0</v>
      </c>
      <c r="AB445" s="77"/>
      <c r="AC445" s="77">
        <v>0</v>
      </c>
      <c r="AD445" s="77"/>
      <c r="AE445" s="77">
        <v>0</v>
      </c>
      <c r="AF445" s="77"/>
      <c r="AG445" s="77">
        <v>0</v>
      </c>
      <c r="AH445" s="77"/>
      <c r="AI445" s="77">
        <f t="shared" si="18"/>
        <v>29152.21</v>
      </c>
      <c r="AJ445" s="24"/>
      <c r="AK445" s="15" t="str">
        <f>'Gen Rev'!A445</f>
        <v>New Bavaria</v>
      </c>
      <c r="AL445" s="15" t="str">
        <f t="shared" si="19"/>
        <v>New Bavaria</v>
      </c>
      <c r="AM445" s="15" t="b">
        <f t="shared" si="20"/>
        <v>1</v>
      </c>
    </row>
    <row r="446" spans="1:42" ht="12" customHeight="1" x14ac:dyDescent="0.2">
      <c r="A446" s="1" t="s">
        <v>149</v>
      </c>
      <c r="B446" s="1"/>
      <c r="C446" s="1" t="s">
        <v>463</v>
      </c>
      <c r="E446" s="77">
        <v>7802.18</v>
      </c>
      <c r="F446" s="77"/>
      <c r="G446" s="77">
        <v>26351.91</v>
      </c>
      <c r="H446" s="77"/>
      <c r="I446" s="77">
        <v>27247.11</v>
      </c>
      <c r="J446" s="77"/>
      <c r="K446" s="77">
        <v>0</v>
      </c>
      <c r="L446" s="77"/>
      <c r="M446" s="77">
        <v>0</v>
      </c>
      <c r="N446" s="77"/>
      <c r="O446" s="77">
        <v>2607.4499999999998</v>
      </c>
      <c r="P446" s="77"/>
      <c r="Q446" s="77">
        <v>716.54</v>
      </c>
      <c r="R446" s="77"/>
      <c r="S446" s="77">
        <v>47.82</v>
      </c>
      <c r="T446" s="77"/>
      <c r="U446" s="77">
        <v>0</v>
      </c>
      <c r="V446" s="77"/>
      <c r="W446" s="77">
        <v>0</v>
      </c>
      <c r="X446" s="77"/>
      <c r="Y446" s="77">
        <v>0</v>
      </c>
      <c r="Z446" s="77"/>
      <c r="AA446" s="77">
        <v>0</v>
      </c>
      <c r="AB446" s="77"/>
      <c r="AC446" s="77">
        <v>0</v>
      </c>
      <c r="AD446" s="77"/>
      <c r="AE446" s="77">
        <v>0</v>
      </c>
      <c r="AF446" s="77"/>
      <c r="AG446" s="77">
        <v>0</v>
      </c>
      <c r="AH446" s="77"/>
      <c r="AI446" s="77">
        <f t="shared" si="18"/>
        <v>64773.009999999995</v>
      </c>
      <c r="AJ446" s="24"/>
      <c r="AK446" s="15" t="str">
        <f>'Gen Rev'!A446</f>
        <v>New Bloomington</v>
      </c>
      <c r="AL446" s="15" t="str">
        <f t="shared" si="19"/>
        <v>New Bloomington</v>
      </c>
      <c r="AM446" s="15" t="b">
        <f t="shared" si="20"/>
        <v>1</v>
      </c>
      <c r="AN446" s="31"/>
      <c r="AO446" s="31"/>
      <c r="AP446" s="31"/>
    </row>
    <row r="447" spans="1:42" s="31" customFormat="1" ht="12" customHeight="1" x14ac:dyDescent="0.2">
      <c r="A447" s="1" t="s">
        <v>528</v>
      </c>
      <c r="B447" s="1"/>
      <c r="C447" s="1" t="s">
        <v>529</v>
      </c>
      <c r="D447" s="15"/>
      <c r="E447" s="77">
        <v>587147.76</v>
      </c>
      <c r="F447" s="77"/>
      <c r="G447" s="77">
        <v>1529434.92</v>
      </c>
      <c r="H447" s="77"/>
      <c r="I447" s="77">
        <v>384924.77</v>
      </c>
      <c r="J447" s="77"/>
      <c r="K447" s="77">
        <v>0</v>
      </c>
      <c r="L447" s="77"/>
      <c r="M447" s="77">
        <v>21351.85</v>
      </c>
      <c r="N447" s="77"/>
      <c r="O447" s="77">
        <v>62365.2</v>
      </c>
      <c r="P447" s="77"/>
      <c r="Q447" s="77">
        <v>501.44</v>
      </c>
      <c r="R447" s="77"/>
      <c r="S447" s="77">
        <v>170710.04</v>
      </c>
      <c r="T447" s="77"/>
      <c r="U447" s="77">
        <v>0</v>
      </c>
      <c r="V447" s="77"/>
      <c r="W447" s="77">
        <v>0</v>
      </c>
      <c r="X447" s="77"/>
      <c r="Y447" s="77">
        <v>808</v>
      </c>
      <c r="Z447" s="77"/>
      <c r="AA447" s="77">
        <v>479509.28</v>
      </c>
      <c r="AB447" s="77"/>
      <c r="AC447" s="77">
        <v>0</v>
      </c>
      <c r="AD447" s="77"/>
      <c r="AE447" s="77">
        <v>18325.740000000002</v>
      </c>
      <c r="AF447" s="77"/>
      <c r="AG447" s="77">
        <f>2051+7098.8</f>
        <v>9149.7999999999993</v>
      </c>
      <c r="AH447" s="77"/>
      <c r="AI447" s="77">
        <f t="shared" si="18"/>
        <v>3264228.8</v>
      </c>
      <c r="AJ447" s="24"/>
      <c r="AK447" s="15" t="str">
        <f>'Gen Rev'!A447</f>
        <v>New Boston</v>
      </c>
      <c r="AL447" s="15" t="str">
        <f t="shared" si="19"/>
        <v>New Boston</v>
      </c>
      <c r="AM447" s="15" t="b">
        <f t="shared" si="20"/>
        <v>1</v>
      </c>
      <c r="AN447" s="15"/>
      <c r="AO447" s="15"/>
      <c r="AP447" s="15"/>
    </row>
    <row r="448" spans="1:42" s="31" customFormat="1" ht="12" customHeight="1" x14ac:dyDescent="0.2">
      <c r="A448" s="15" t="s">
        <v>277</v>
      </c>
      <c r="B448" s="15"/>
      <c r="C448" s="15" t="s">
        <v>275</v>
      </c>
      <c r="D448" s="15"/>
      <c r="E448" s="77">
        <v>243485</v>
      </c>
      <c r="F448" s="77"/>
      <c r="G448" s="77">
        <v>2931085</v>
      </c>
      <c r="H448" s="77"/>
      <c r="I448" s="77">
        <v>307418</v>
      </c>
      <c r="J448" s="77"/>
      <c r="K448" s="77">
        <v>41963</v>
      </c>
      <c r="L448" s="77"/>
      <c r="M448" s="77">
        <v>50075</v>
      </c>
      <c r="N448" s="77"/>
      <c r="O448" s="77">
        <v>16679</v>
      </c>
      <c r="P448" s="77"/>
      <c r="Q448" s="77">
        <v>28375</v>
      </c>
      <c r="R448" s="77"/>
      <c r="S448" s="77">
        <f>38135+49771</f>
        <v>87906</v>
      </c>
      <c r="T448" s="77"/>
      <c r="U448" s="77">
        <v>0</v>
      </c>
      <c r="V448" s="77"/>
      <c r="W448" s="77">
        <v>0</v>
      </c>
      <c r="X448" s="77"/>
      <c r="Y448" s="77">
        <v>530</v>
      </c>
      <c r="Z448" s="77"/>
      <c r="AA448" s="77">
        <v>250000</v>
      </c>
      <c r="AB448" s="77"/>
      <c r="AC448" s="77">
        <v>0</v>
      </c>
      <c r="AD448" s="77"/>
      <c r="AE448" s="77">
        <v>100000</v>
      </c>
      <c r="AF448" s="77"/>
      <c r="AG448" s="77">
        <v>0</v>
      </c>
      <c r="AH448" s="77"/>
      <c r="AI448" s="77">
        <f t="shared" si="18"/>
        <v>4057516</v>
      </c>
      <c r="AJ448" s="24"/>
      <c r="AK448" s="15" t="str">
        <f>'Gen Rev'!A448</f>
        <v>New Bremen</v>
      </c>
      <c r="AL448" s="15" t="str">
        <f t="shared" si="19"/>
        <v>New Bremen</v>
      </c>
      <c r="AM448" s="15" t="b">
        <f t="shared" si="20"/>
        <v>1</v>
      </c>
      <c r="AN448" s="15"/>
      <c r="AO448" s="15"/>
      <c r="AP448" s="15"/>
    </row>
    <row r="449" spans="1:42" s="31" customFormat="1" ht="12" customHeight="1" x14ac:dyDescent="0.2">
      <c r="A449" s="15" t="s">
        <v>486</v>
      </c>
      <c r="B449" s="15"/>
      <c r="C449" s="15" t="s">
        <v>484</v>
      </c>
      <c r="D449" s="15"/>
      <c r="E449" s="77">
        <v>794892</v>
      </c>
      <c r="F449" s="77"/>
      <c r="G449" s="77">
        <v>0</v>
      </c>
      <c r="H449" s="77"/>
      <c r="I449" s="77">
        <v>163582</v>
      </c>
      <c r="J449" s="77"/>
      <c r="K449" s="77">
        <v>17436</v>
      </c>
      <c r="L449" s="77"/>
      <c r="M449" s="77">
        <v>355212</v>
      </c>
      <c r="N449" s="77"/>
      <c r="O449" s="77">
        <v>27815</v>
      </c>
      <c r="P449" s="77"/>
      <c r="Q449" s="77">
        <v>1270</v>
      </c>
      <c r="R449" s="77"/>
      <c r="S449" s="77">
        <v>53883</v>
      </c>
      <c r="T449" s="77"/>
      <c r="U449" s="77">
        <v>0</v>
      </c>
      <c r="V449" s="77"/>
      <c r="W449" s="77">
        <v>190000</v>
      </c>
      <c r="X449" s="77"/>
      <c r="Y449" s="77">
        <v>0</v>
      </c>
      <c r="Z449" s="77"/>
      <c r="AA449" s="77">
        <v>177080</v>
      </c>
      <c r="AB449" s="77"/>
      <c r="AC449" s="77">
        <v>254000</v>
      </c>
      <c r="AD449" s="77"/>
      <c r="AE449" s="77">
        <v>0</v>
      </c>
      <c r="AF449" s="77"/>
      <c r="AG449" s="77">
        <v>0</v>
      </c>
      <c r="AH449" s="77"/>
      <c r="AI449" s="77">
        <f t="shared" si="18"/>
        <v>2035170</v>
      </c>
      <c r="AJ449" s="24"/>
      <c r="AK449" s="15" t="str">
        <f>'Gen Rev'!A449</f>
        <v>New Concord</v>
      </c>
      <c r="AL449" s="15" t="str">
        <f t="shared" si="19"/>
        <v>New Concord</v>
      </c>
      <c r="AM449" s="15" t="b">
        <f t="shared" si="20"/>
        <v>1</v>
      </c>
      <c r="AN449" s="15"/>
      <c r="AO449" s="15"/>
      <c r="AP449" s="15"/>
    </row>
    <row r="450" spans="1:42" ht="12" customHeight="1" x14ac:dyDescent="0.2">
      <c r="A450" s="1" t="s">
        <v>189</v>
      </c>
      <c r="B450" s="1"/>
      <c r="C450" s="1" t="s">
        <v>793</v>
      </c>
      <c r="E450" s="77">
        <v>81814.710000000006</v>
      </c>
      <c r="F450" s="77"/>
      <c r="G450" s="77">
        <v>0</v>
      </c>
      <c r="H450" s="77"/>
      <c r="I450" s="77">
        <v>116553.55</v>
      </c>
      <c r="J450" s="77"/>
      <c r="K450" s="77">
        <v>11507.23</v>
      </c>
      <c r="L450" s="77"/>
      <c r="M450" s="77">
        <v>2520</v>
      </c>
      <c r="N450" s="77"/>
      <c r="O450" s="77">
        <v>1703.18</v>
      </c>
      <c r="P450" s="77"/>
      <c r="Q450" s="77">
        <v>1457.07</v>
      </c>
      <c r="R450" s="77"/>
      <c r="S450" s="77">
        <v>6496.42</v>
      </c>
      <c r="T450" s="77"/>
      <c r="U450" s="77">
        <v>0</v>
      </c>
      <c r="V450" s="77"/>
      <c r="W450" s="77">
        <v>0</v>
      </c>
      <c r="X450" s="77"/>
      <c r="Y450" s="77">
        <v>0</v>
      </c>
      <c r="Z450" s="77"/>
      <c r="AA450" s="77">
        <v>0</v>
      </c>
      <c r="AB450" s="77"/>
      <c r="AC450" s="77">
        <v>30000</v>
      </c>
      <c r="AD450" s="77"/>
      <c r="AE450" s="77">
        <v>0</v>
      </c>
      <c r="AF450" s="77"/>
      <c r="AG450" s="77">
        <v>0</v>
      </c>
      <c r="AH450" s="77"/>
      <c r="AI450" s="77">
        <f t="shared" si="18"/>
        <v>252052.16000000003</v>
      </c>
      <c r="AJ450" s="24"/>
      <c r="AK450" s="15" t="str">
        <f>'Gen Rev'!A450</f>
        <v>New Holland</v>
      </c>
      <c r="AL450" s="15" t="str">
        <f t="shared" si="19"/>
        <v>New Holland</v>
      </c>
      <c r="AM450" s="15" t="b">
        <f t="shared" si="20"/>
        <v>1</v>
      </c>
      <c r="AN450" s="32"/>
      <c r="AO450" s="32"/>
      <c r="AP450" s="32"/>
    </row>
    <row r="451" spans="1:42" ht="12" customHeight="1" x14ac:dyDescent="0.2">
      <c r="A451" s="1" t="s">
        <v>12</v>
      </c>
      <c r="B451" s="1"/>
      <c r="C451" s="1" t="s">
        <v>740</v>
      </c>
      <c r="E451" s="77">
        <v>92693.42</v>
      </c>
      <c r="F451" s="77"/>
      <c r="G451" s="77">
        <v>328931.28000000003</v>
      </c>
      <c r="H451" s="77"/>
      <c r="I451" s="77">
        <v>101200.12</v>
      </c>
      <c r="J451" s="77"/>
      <c r="K451" s="77">
        <v>8025</v>
      </c>
      <c r="L451" s="77"/>
      <c r="M451" s="77">
        <v>93659.73</v>
      </c>
      <c r="N451" s="77"/>
      <c r="O451" s="77">
        <v>1308</v>
      </c>
      <c r="P451" s="77"/>
      <c r="Q451" s="77">
        <v>3595.02</v>
      </c>
      <c r="R451" s="77"/>
      <c r="S451" s="77">
        <v>17499.23</v>
      </c>
      <c r="T451" s="77"/>
      <c r="U451" s="77">
        <v>0</v>
      </c>
      <c r="V451" s="77"/>
      <c r="W451" s="77">
        <v>0</v>
      </c>
      <c r="X451" s="77"/>
      <c r="Y451" s="77">
        <v>0</v>
      </c>
      <c r="Z451" s="77"/>
      <c r="AA451" s="77">
        <v>90207.98</v>
      </c>
      <c r="AB451" s="77"/>
      <c r="AC451" s="77">
        <v>0</v>
      </c>
      <c r="AD451" s="77"/>
      <c r="AE451" s="77">
        <v>3087.82</v>
      </c>
      <c r="AF451" s="77"/>
      <c r="AG451" s="77">
        <v>0</v>
      </c>
      <c r="AH451" s="77"/>
      <c r="AI451" s="77">
        <f t="shared" si="18"/>
        <v>740207.6</v>
      </c>
      <c r="AJ451" s="24"/>
      <c r="AK451" s="15" t="str">
        <f>'Gen Rev'!A451</f>
        <v>New Knoxville</v>
      </c>
      <c r="AL451" s="15" t="str">
        <f t="shared" si="19"/>
        <v>New Knoxville</v>
      </c>
      <c r="AM451" s="15" t="b">
        <f t="shared" si="20"/>
        <v>1</v>
      </c>
    </row>
    <row r="452" spans="1:42" ht="12" customHeight="1" x14ac:dyDescent="0.2">
      <c r="A452" s="15" t="s">
        <v>481</v>
      </c>
      <c r="C452" s="15" t="s">
        <v>479</v>
      </c>
      <c r="E452" s="77">
        <v>596446</v>
      </c>
      <c r="F452" s="77"/>
      <c r="G452" s="77">
        <v>702405</v>
      </c>
      <c r="H452" s="77"/>
      <c r="I452" s="77">
        <v>992734</v>
      </c>
      <c r="J452" s="77"/>
      <c r="K452" s="77">
        <v>55357</v>
      </c>
      <c r="L452" s="77"/>
      <c r="M452" s="77">
        <v>276746</v>
      </c>
      <c r="N452" s="77"/>
      <c r="O452" s="77">
        <v>2681</v>
      </c>
      <c r="P452" s="77"/>
      <c r="Q452" s="77">
        <v>5648</v>
      </c>
      <c r="R452" s="77"/>
      <c r="S452" s="77">
        <v>217486</v>
      </c>
      <c r="T452" s="77"/>
      <c r="U452" s="77">
        <v>0</v>
      </c>
      <c r="V452" s="77"/>
      <c r="W452" s="77">
        <v>160000</v>
      </c>
      <c r="X452" s="77"/>
      <c r="Y452" s="77">
        <v>0</v>
      </c>
      <c r="Z452" s="77"/>
      <c r="AA452" s="77">
        <v>1064097</v>
      </c>
      <c r="AB452" s="77"/>
      <c r="AC452" s="77">
        <v>0</v>
      </c>
      <c r="AD452" s="77"/>
      <c r="AE452" s="77">
        <v>20612</v>
      </c>
      <c r="AF452" s="77"/>
      <c r="AG452" s="77">
        <v>0</v>
      </c>
      <c r="AH452" s="77"/>
      <c r="AI452" s="77">
        <f t="shared" si="18"/>
        <v>4094212</v>
      </c>
      <c r="AJ452" s="24"/>
      <c r="AK452" s="15" t="str">
        <f>'Gen Rev'!A452</f>
        <v>New Lebanon</v>
      </c>
      <c r="AL452" s="15" t="str">
        <f t="shared" si="19"/>
        <v>New Lebanon</v>
      </c>
      <c r="AM452" s="15" t="b">
        <f t="shared" si="20"/>
        <v>1</v>
      </c>
    </row>
    <row r="453" spans="1:42" s="31" customFormat="1" ht="12" customHeight="1" x14ac:dyDescent="0.2">
      <c r="A453" s="15" t="s">
        <v>963</v>
      </c>
      <c r="B453" s="15"/>
      <c r="C453" s="15" t="s">
        <v>500</v>
      </c>
      <c r="D453" s="37"/>
      <c r="E453" s="77">
        <v>50684</v>
      </c>
      <c r="F453" s="77"/>
      <c r="G453" s="77">
        <v>211834.06</v>
      </c>
      <c r="H453" s="77"/>
      <c r="I453" s="77">
        <v>94601.78</v>
      </c>
      <c r="J453" s="77"/>
      <c r="K453" s="77">
        <v>0</v>
      </c>
      <c r="L453" s="77"/>
      <c r="M453" s="77">
        <v>230902.73</v>
      </c>
      <c r="N453" s="77"/>
      <c r="O453" s="77">
        <v>41501.360000000001</v>
      </c>
      <c r="P453" s="77"/>
      <c r="Q453" s="77">
        <v>628.03</v>
      </c>
      <c r="R453" s="77"/>
      <c r="S453" s="77">
        <v>10846.27</v>
      </c>
      <c r="T453" s="77"/>
      <c r="U453" s="77">
        <v>0</v>
      </c>
      <c r="V453" s="77"/>
      <c r="W453" s="77">
        <v>0</v>
      </c>
      <c r="X453" s="77"/>
      <c r="Y453" s="77">
        <v>0</v>
      </c>
      <c r="Z453" s="77"/>
      <c r="AA453" s="77">
        <v>0</v>
      </c>
      <c r="AB453" s="77"/>
      <c r="AC453" s="77">
        <v>0</v>
      </c>
      <c r="AD453" s="77"/>
      <c r="AE453" s="77">
        <v>0</v>
      </c>
      <c r="AF453" s="77"/>
      <c r="AG453" s="77">
        <v>0</v>
      </c>
      <c r="AH453" s="77"/>
      <c r="AI453" s="77">
        <f t="shared" si="18"/>
        <v>640998.23</v>
      </c>
      <c r="AJ453" s="37"/>
      <c r="AK453" s="15" t="str">
        <f>'Gen Rev'!A453</f>
        <v>New Lexington</v>
      </c>
      <c r="AL453" s="15" t="str">
        <f t="shared" si="19"/>
        <v>New Lexington</v>
      </c>
      <c r="AM453" s="15" t="b">
        <f t="shared" si="20"/>
        <v>1</v>
      </c>
      <c r="AN453" s="74"/>
      <c r="AO453" s="74"/>
      <c r="AP453" s="74"/>
    </row>
    <row r="454" spans="1:42" s="29" customFormat="1" ht="12" customHeight="1" x14ac:dyDescent="0.2">
      <c r="A454" s="15" t="s">
        <v>417</v>
      </c>
      <c r="B454" s="15"/>
      <c r="C454" s="15" t="s">
        <v>416</v>
      </c>
      <c r="D454" s="15"/>
      <c r="E454" s="77">
        <v>74793</v>
      </c>
      <c r="F454" s="77"/>
      <c r="G454" s="77">
        <v>563341</v>
      </c>
      <c r="H454" s="77"/>
      <c r="I454" s="77">
        <v>272648</v>
      </c>
      <c r="J454" s="77"/>
      <c r="K454" s="77">
        <v>0</v>
      </c>
      <c r="L454" s="77"/>
      <c r="M454" s="77">
        <v>67902</v>
      </c>
      <c r="N454" s="77"/>
      <c r="O454" s="77">
        <v>12236</v>
      </c>
      <c r="P454" s="77"/>
      <c r="Q454" s="77">
        <v>11640</v>
      </c>
      <c r="R454" s="77"/>
      <c r="S454" s="77">
        <v>75831</v>
      </c>
      <c r="T454" s="77"/>
      <c r="U454" s="77">
        <v>0</v>
      </c>
      <c r="V454" s="77"/>
      <c r="W454" s="77">
        <v>0</v>
      </c>
      <c r="X454" s="77"/>
      <c r="Y454" s="77">
        <v>0</v>
      </c>
      <c r="Z454" s="77"/>
      <c r="AA454" s="77">
        <v>557051</v>
      </c>
      <c r="AB454" s="77"/>
      <c r="AC454" s="77">
        <v>30000</v>
      </c>
      <c r="AD454" s="77"/>
      <c r="AE454" s="77">
        <f>3485+5250</f>
        <v>8735</v>
      </c>
      <c r="AF454" s="77"/>
      <c r="AG454" s="77">
        <v>0</v>
      </c>
      <c r="AH454" s="77"/>
      <c r="AI454" s="77">
        <f t="shared" si="18"/>
        <v>1674177</v>
      </c>
      <c r="AJ454" s="24"/>
      <c r="AK454" s="15" t="str">
        <f>'Gen Rev'!A454</f>
        <v>New London</v>
      </c>
      <c r="AL454" s="15" t="str">
        <f t="shared" si="19"/>
        <v>New London</v>
      </c>
      <c r="AM454" s="15" t="b">
        <f t="shared" si="20"/>
        <v>1</v>
      </c>
      <c r="AN454" s="31"/>
      <c r="AO454" s="31"/>
      <c r="AP454" s="31"/>
    </row>
    <row r="455" spans="1:42" ht="12" customHeight="1" x14ac:dyDescent="0.2">
      <c r="A455" s="1" t="s">
        <v>53</v>
      </c>
      <c r="B455" s="1"/>
      <c r="C455" s="1" t="s">
        <v>752</v>
      </c>
      <c r="E455" s="77">
        <v>188768.25</v>
      </c>
      <c r="F455" s="77"/>
      <c r="G455" s="77">
        <v>139530.67000000001</v>
      </c>
      <c r="H455" s="77"/>
      <c r="I455" s="77">
        <v>36096.949999999997</v>
      </c>
      <c r="J455" s="77"/>
      <c r="K455" s="77">
        <v>977.91</v>
      </c>
      <c r="L455" s="77"/>
      <c r="M455" s="77">
        <v>71025.52</v>
      </c>
      <c r="N455" s="77"/>
      <c r="O455" s="77">
        <v>5551.1</v>
      </c>
      <c r="P455" s="77"/>
      <c r="Q455" s="77">
        <v>2537.77</v>
      </c>
      <c r="R455" s="77"/>
      <c r="S455" s="77">
        <v>17888.669999999998</v>
      </c>
      <c r="T455" s="77"/>
      <c r="U455" s="77">
        <v>0</v>
      </c>
      <c r="V455" s="77"/>
      <c r="W455" s="77">
        <v>0</v>
      </c>
      <c r="X455" s="77"/>
      <c r="Y455" s="77">
        <v>0</v>
      </c>
      <c r="Z455" s="77"/>
      <c r="AA455" s="77">
        <v>0</v>
      </c>
      <c r="AB455" s="77"/>
      <c r="AC455" s="77">
        <v>0</v>
      </c>
      <c r="AD455" s="77"/>
      <c r="AE455" s="77">
        <v>163567.13</v>
      </c>
      <c r="AF455" s="77"/>
      <c r="AG455" s="77">
        <v>0</v>
      </c>
      <c r="AH455" s="77"/>
      <c r="AI455" s="77">
        <f t="shared" si="18"/>
        <v>625943.97</v>
      </c>
      <c r="AJ455" s="24"/>
      <c r="AK455" s="15" t="str">
        <f>'Gen Rev'!A455</f>
        <v>New Madison</v>
      </c>
      <c r="AL455" s="15" t="str">
        <f t="shared" si="19"/>
        <v>New Madison</v>
      </c>
      <c r="AM455" s="15" t="b">
        <f t="shared" si="20"/>
        <v>1</v>
      </c>
      <c r="AN455" s="31"/>
      <c r="AO455" s="31"/>
      <c r="AP455" s="31"/>
    </row>
    <row r="456" spans="1:42" ht="12" customHeight="1" x14ac:dyDescent="0.2">
      <c r="A456" s="1" t="s">
        <v>932</v>
      </c>
      <c r="B456" s="1"/>
      <c r="C456" s="1" t="s">
        <v>518</v>
      </c>
      <c r="E456" s="77">
        <v>122518.54</v>
      </c>
      <c r="F456" s="77"/>
      <c r="G456" s="77">
        <v>113881.08</v>
      </c>
      <c r="H456" s="77"/>
      <c r="I456" s="77">
        <v>195032.53</v>
      </c>
      <c r="J456" s="77"/>
      <c r="K456" s="77">
        <v>19210.900000000001</v>
      </c>
      <c r="L456" s="77"/>
      <c r="M456" s="77">
        <v>38476.75</v>
      </c>
      <c r="N456" s="77"/>
      <c r="O456" s="77">
        <v>373135.54</v>
      </c>
      <c r="P456" s="77"/>
      <c r="Q456" s="77">
        <v>533.52</v>
      </c>
      <c r="R456" s="77"/>
      <c r="S456" s="77">
        <v>39627.15</v>
      </c>
      <c r="T456" s="77"/>
      <c r="U456" s="77">
        <v>0</v>
      </c>
      <c r="V456" s="77"/>
      <c r="W456" s="77">
        <v>0</v>
      </c>
      <c r="X456" s="77"/>
      <c r="Y456" s="77">
        <v>0</v>
      </c>
      <c r="Z456" s="77"/>
      <c r="AA456" s="77">
        <v>0</v>
      </c>
      <c r="AB456" s="77"/>
      <c r="AC456" s="77">
        <v>1498.52</v>
      </c>
      <c r="AD456" s="77"/>
      <c r="AE456" s="77">
        <v>0</v>
      </c>
      <c r="AF456" s="77"/>
      <c r="AG456" s="77">
        <v>0</v>
      </c>
      <c r="AH456" s="77"/>
      <c r="AI456" s="77">
        <f t="shared" si="18"/>
        <v>903914.53000000014</v>
      </c>
      <c r="AJ456" s="24"/>
      <c r="AK456" s="15" t="str">
        <f>'Gen Rev'!A456</f>
        <v>New Miami</v>
      </c>
      <c r="AL456" s="15" t="str">
        <f t="shared" si="19"/>
        <v>New Miami</v>
      </c>
      <c r="AM456" s="15" t="b">
        <f t="shared" si="20"/>
        <v>1</v>
      </c>
    </row>
    <row r="457" spans="1:42" s="31" customFormat="1" ht="12" customHeight="1" x14ac:dyDescent="0.2">
      <c r="A457" s="24"/>
      <c r="B457" s="24"/>
      <c r="C457" s="24"/>
      <c r="D457" s="24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24"/>
      <c r="AK457" s="15"/>
      <c r="AL457" s="15"/>
      <c r="AM457" s="15"/>
      <c r="AN457" s="29"/>
      <c r="AO457" s="29"/>
      <c r="AP457" s="29"/>
    </row>
    <row r="458" spans="1:42" s="31" customFormat="1" ht="12" customHeight="1" x14ac:dyDescent="0.2">
      <c r="A458" s="24"/>
      <c r="B458" s="24"/>
      <c r="C458" s="24"/>
      <c r="D458" s="24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 t="s">
        <v>850</v>
      </c>
      <c r="AJ458" s="24"/>
      <c r="AK458" s="15"/>
      <c r="AL458" s="15"/>
      <c r="AM458" s="15"/>
      <c r="AN458" s="29"/>
      <c r="AO458" s="29"/>
      <c r="AP458" s="29"/>
    </row>
    <row r="459" spans="1:42" s="31" customFormat="1" ht="12" customHeight="1" x14ac:dyDescent="0.2">
      <c r="A459" s="24"/>
      <c r="B459" s="24"/>
      <c r="C459" s="24"/>
      <c r="D459" s="24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24"/>
      <c r="AK459" s="15"/>
      <c r="AL459" s="15"/>
      <c r="AM459" s="15"/>
      <c r="AN459" s="29"/>
      <c r="AO459" s="29"/>
      <c r="AP459" s="29"/>
    </row>
    <row r="460" spans="1:42" ht="12" customHeight="1" x14ac:dyDescent="0.2">
      <c r="A460" s="1" t="s">
        <v>145</v>
      </c>
      <c r="B460" s="1"/>
      <c r="C460" s="1" t="s">
        <v>779</v>
      </c>
      <c r="E460" s="89">
        <v>349808.4</v>
      </c>
      <c r="F460" s="89"/>
      <c r="G460" s="89">
        <v>0</v>
      </c>
      <c r="H460" s="89"/>
      <c r="I460" s="89">
        <v>424359.31</v>
      </c>
      <c r="J460" s="89"/>
      <c r="K460" s="89">
        <v>9618.67</v>
      </c>
      <c r="L460" s="89"/>
      <c r="M460" s="89">
        <v>27637.5</v>
      </c>
      <c r="N460" s="89"/>
      <c r="O460" s="89">
        <v>41031.25</v>
      </c>
      <c r="P460" s="89"/>
      <c r="Q460" s="89">
        <v>149.05000000000001</v>
      </c>
      <c r="R460" s="89"/>
      <c r="S460" s="89">
        <v>73489.83</v>
      </c>
      <c r="T460" s="89"/>
      <c r="U460" s="89">
        <v>0</v>
      </c>
      <c r="V460" s="89"/>
      <c r="W460" s="89">
        <v>0</v>
      </c>
      <c r="X460" s="89"/>
      <c r="Y460" s="89">
        <v>0</v>
      </c>
      <c r="Z460" s="89"/>
      <c r="AA460" s="89">
        <v>50000</v>
      </c>
      <c r="AB460" s="89"/>
      <c r="AC460" s="89">
        <v>125000</v>
      </c>
      <c r="AD460" s="89"/>
      <c r="AE460" s="89">
        <v>11018.46</v>
      </c>
      <c r="AF460" s="89"/>
      <c r="AG460" s="89">
        <v>0</v>
      </c>
      <c r="AH460" s="89"/>
      <c r="AI460" s="89">
        <f t="shared" si="18"/>
        <v>1112112.47</v>
      </c>
      <c r="AJ460" s="24"/>
      <c r="AK460" s="15" t="str">
        <f>'Gen Rev'!A460</f>
        <v>New Middleton</v>
      </c>
      <c r="AL460" s="15" t="str">
        <f t="shared" si="19"/>
        <v>New Middleton</v>
      </c>
      <c r="AM460" s="15" t="b">
        <f t="shared" si="20"/>
        <v>1</v>
      </c>
    </row>
    <row r="461" spans="1:42" s="31" customFormat="1" ht="12" customHeight="1" x14ac:dyDescent="0.2">
      <c r="A461" s="1" t="s">
        <v>510</v>
      </c>
      <c r="B461" s="1"/>
      <c r="C461" s="1" t="s">
        <v>509</v>
      </c>
      <c r="D461" s="15"/>
      <c r="E461" s="77">
        <v>96341.52</v>
      </c>
      <c r="F461" s="77"/>
      <c r="G461" s="77">
        <v>1113.93</v>
      </c>
      <c r="H461" s="77"/>
      <c r="I461" s="77">
        <v>168445.92</v>
      </c>
      <c r="J461" s="77"/>
      <c r="K461" s="77">
        <v>0</v>
      </c>
      <c r="L461" s="77"/>
      <c r="M461" s="77">
        <v>158.80000000000001</v>
      </c>
      <c r="N461" s="77"/>
      <c r="O461" s="77">
        <v>7961.79</v>
      </c>
      <c r="P461" s="77"/>
      <c r="Q461" s="77">
        <v>785.86</v>
      </c>
      <c r="R461" s="77"/>
      <c r="S461" s="77">
        <v>3515.75</v>
      </c>
      <c r="T461" s="77"/>
      <c r="U461" s="77">
        <v>0</v>
      </c>
      <c r="V461" s="77"/>
      <c r="W461" s="77">
        <v>0</v>
      </c>
      <c r="X461" s="77"/>
      <c r="Y461" s="77">
        <v>0</v>
      </c>
      <c r="Z461" s="77"/>
      <c r="AA461" s="77">
        <v>110886.62</v>
      </c>
      <c r="AB461" s="77"/>
      <c r="AC461" s="77">
        <v>0</v>
      </c>
      <c r="AD461" s="77"/>
      <c r="AE461" s="77">
        <v>0</v>
      </c>
      <c r="AF461" s="77"/>
      <c r="AG461" s="77">
        <v>0</v>
      </c>
      <c r="AH461" s="77"/>
      <c r="AI461" s="77">
        <f t="shared" si="18"/>
        <v>389210.18999999994</v>
      </c>
      <c r="AJ461" s="24"/>
      <c r="AK461" s="15" t="str">
        <f>'Gen Rev'!A461</f>
        <v>New Paris</v>
      </c>
      <c r="AL461" s="15" t="str">
        <f t="shared" si="19"/>
        <v>New Paris</v>
      </c>
      <c r="AM461" s="15" t="b">
        <f t="shared" si="20"/>
        <v>1</v>
      </c>
      <c r="AN461" s="15"/>
      <c r="AO461" s="15"/>
      <c r="AP461" s="15"/>
    </row>
    <row r="462" spans="1:42" ht="12" customHeight="1" x14ac:dyDescent="0.2">
      <c r="A462" s="36" t="s">
        <v>38</v>
      </c>
      <c r="B462" s="36"/>
      <c r="C462" s="36" t="s">
        <v>747</v>
      </c>
      <c r="E462" s="77">
        <v>915726.89</v>
      </c>
      <c r="F462" s="77"/>
      <c r="G462" s="77">
        <v>406367.04</v>
      </c>
      <c r="H462" s="77"/>
      <c r="I462" s="77">
        <v>552596.5</v>
      </c>
      <c r="J462" s="77"/>
      <c r="K462" s="77">
        <v>8703.7199999999993</v>
      </c>
      <c r="L462" s="77"/>
      <c r="M462" s="77">
        <v>20105</v>
      </c>
      <c r="N462" s="77"/>
      <c r="O462" s="77">
        <v>56148.63</v>
      </c>
      <c r="P462" s="77"/>
      <c r="Q462" s="77">
        <v>5931.22</v>
      </c>
      <c r="R462" s="77"/>
      <c r="S462" s="77">
        <v>147694.88</v>
      </c>
      <c r="T462" s="77"/>
      <c r="U462" s="77">
        <v>0</v>
      </c>
      <c r="V462" s="77"/>
      <c r="W462" s="77">
        <v>27795</v>
      </c>
      <c r="X462" s="77"/>
      <c r="Y462" s="77">
        <v>0</v>
      </c>
      <c r="Z462" s="77"/>
      <c r="AA462" s="77">
        <v>181467.62</v>
      </c>
      <c r="AB462" s="77"/>
      <c r="AC462" s="77">
        <v>78034.02</v>
      </c>
      <c r="AD462" s="77"/>
      <c r="AE462" s="77">
        <v>0</v>
      </c>
      <c r="AF462" s="77"/>
      <c r="AG462" s="77">
        <v>0</v>
      </c>
      <c r="AH462" s="77"/>
      <c r="AI462" s="77">
        <f t="shared" si="18"/>
        <v>2400570.52</v>
      </c>
      <c r="AJ462" s="24"/>
      <c r="AK462" s="15" t="str">
        <f>'Gen Rev'!A462</f>
        <v>New Richmond</v>
      </c>
      <c r="AL462" s="15" t="str">
        <f t="shared" si="19"/>
        <v>New Richmond</v>
      </c>
      <c r="AM462" s="15" t="b">
        <f t="shared" si="20"/>
        <v>1</v>
      </c>
    </row>
    <row r="463" spans="1:42" ht="12" customHeight="1" x14ac:dyDescent="0.2">
      <c r="A463" s="1" t="s">
        <v>220</v>
      </c>
      <c r="B463" s="1"/>
      <c r="C463" s="1" t="s">
        <v>802</v>
      </c>
      <c r="E463" s="77">
        <v>15415.04</v>
      </c>
      <c r="F463" s="77"/>
      <c r="G463" s="77">
        <v>64015.6</v>
      </c>
      <c r="H463" s="77"/>
      <c r="I463" s="77">
        <v>50182.92</v>
      </c>
      <c r="J463" s="77"/>
      <c r="K463" s="77">
        <v>0</v>
      </c>
      <c r="L463" s="77"/>
      <c r="M463" s="77">
        <v>0</v>
      </c>
      <c r="N463" s="77"/>
      <c r="O463" s="77">
        <v>2232</v>
      </c>
      <c r="P463" s="77"/>
      <c r="Q463" s="77">
        <v>217.13</v>
      </c>
      <c r="R463" s="77"/>
      <c r="S463" s="77">
        <v>16</v>
      </c>
      <c r="T463" s="77"/>
      <c r="U463" s="77">
        <v>0</v>
      </c>
      <c r="V463" s="77"/>
      <c r="W463" s="77">
        <v>0</v>
      </c>
      <c r="X463" s="77"/>
      <c r="Y463" s="77">
        <v>0</v>
      </c>
      <c r="Z463" s="77"/>
      <c r="AA463" s="77">
        <v>0</v>
      </c>
      <c r="AB463" s="77"/>
      <c r="AC463" s="77">
        <v>0</v>
      </c>
      <c r="AD463" s="77"/>
      <c r="AE463" s="77">
        <v>0</v>
      </c>
      <c r="AF463" s="77"/>
      <c r="AG463" s="77">
        <v>0</v>
      </c>
      <c r="AH463" s="77"/>
      <c r="AI463" s="77">
        <f t="shared" si="18"/>
        <v>132078.69</v>
      </c>
      <c r="AJ463" s="24"/>
      <c r="AK463" s="15" t="str">
        <f>'Gen Rev'!A463</f>
        <v>New Riegel</v>
      </c>
      <c r="AL463" s="15" t="str">
        <f t="shared" si="19"/>
        <v>New Riegel</v>
      </c>
      <c r="AM463" s="15" t="b">
        <f t="shared" si="20"/>
        <v>1</v>
      </c>
    </row>
    <row r="464" spans="1:42" s="31" customFormat="1" ht="12" customHeight="1" x14ac:dyDescent="0.2">
      <c r="A464" s="15" t="s">
        <v>701</v>
      </c>
      <c r="B464" s="15"/>
      <c r="C464" s="15" t="s">
        <v>500</v>
      </c>
      <c r="D464" s="15"/>
      <c r="E464" s="77">
        <v>86594</v>
      </c>
      <c r="F464" s="77"/>
      <c r="G464" s="77">
        <v>0</v>
      </c>
      <c r="H464" s="77"/>
      <c r="I464" s="77">
        <v>46844</v>
      </c>
      <c r="J464" s="77"/>
      <c r="K464" s="77">
        <v>0</v>
      </c>
      <c r="L464" s="77"/>
      <c r="M464" s="77">
        <v>52248</v>
      </c>
      <c r="N464" s="77"/>
      <c r="O464" s="77">
        <v>2954</v>
      </c>
      <c r="P464" s="77"/>
      <c r="Q464" s="77">
        <v>0</v>
      </c>
      <c r="R464" s="77"/>
      <c r="S464" s="77">
        <v>32422</v>
      </c>
      <c r="T464" s="77"/>
      <c r="U464" s="77">
        <v>0</v>
      </c>
      <c r="V464" s="77"/>
      <c r="W464" s="77">
        <v>0</v>
      </c>
      <c r="X464" s="77"/>
      <c r="Y464" s="77">
        <v>0</v>
      </c>
      <c r="Z464" s="77"/>
      <c r="AA464" s="77">
        <v>2000</v>
      </c>
      <c r="AB464" s="77"/>
      <c r="AC464" s="77">
        <v>0</v>
      </c>
      <c r="AD464" s="77"/>
      <c r="AE464" s="77">
        <v>0</v>
      </c>
      <c r="AF464" s="77"/>
      <c r="AG464" s="77">
        <v>0</v>
      </c>
      <c r="AH464" s="77"/>
      <c r="AI464" s="77">
        <f t="shared" si="18"/>
        <v>223062</v>
      </c>
      <c r="AJ464" s="24"/>
      <c r="AK464" s="15" t="str">
        <f>'Gen Rev'!A464</f>
        <v>New Straitsville</v>
      </c>
      <c r="AL464" s="15" t="str">
        <f t="shared" si="19"/>
        <v>New Straitsville</v>
      </c>
      <c r="AM464" s="15" t="b">
        <f t="shared" si="20"/>
        <v>1</v>
      </c>
      <c r="AN464" s="15"/>
      <c r="AO464" s="15"/>
      <c r="AP464" s="15"/>
    </row>
    <row r="465" spans="1:42" s="31" customFormat="1" ht="12" customHeight="1" x14ac:dyDescent="0.2">
      <c r="A465" s="1" t="s">
        <v>41</v>
      </c>
      <c r="B465" s="1"/>
      <c r="C465" s="1" t="s">
        <v>748</v>
      </c>
      <c r="D465" s="15"/>
      <c r="E465" s="77">
        <v>63863.19</v>
      </c>
      <c r="F465" s="77"/>
      <c r="G465" s="77">
        <v>0</v>
      </c>
      <c r="H465" s="77"/>
      <c r="I465" s="77">
        <v>111547.91</v>
      </c>
      <c r="J465" s="77"/>
      <c r="K465" s="77">
        <v>871904.48</v>
      </c>
      <c r="L465" s="77"/>
      <c r="M465" s="77">
        <v>0</v>
      </c>
      <c r="N465" s="77"/>
      <c r="O465" s="77">
        <v>5743.39</v>
      </c>
      <c r="P465" s="77"/>
      <c r="Q465" s="77">
        <v>0</v>
      </c>
      <c r="R465" s="77"/>
      <c r="S465" s="77">
        <v>2768.78</v>
      </c>
      <c r="T465" s="77"/>
      <c r="U465" s="77">
        <v>0</v>
      </c>
      <c r="V465" s="77"/>
      <c r="W465" s="77">
        <v>0</v>
      </c>
      <c r="X465" s="77"/>
      <c r="Y465" s="77">
        <v>2154</v>
      </c>
      <c r="Z465" s="77"/>
      <c r="AA465" s="77">
        <v>0</v>
      </c>
      <c r="AB465" s="77"/>
      <c r="AC465" s="77">
        <v>15000</v>
      </c>
      <c r="AD465" s="77"/>
      <c r="AE465" s="77">
        <v>0</v>
      </c>
      <c r="AF465" s="77"/>
      <c r="AG465" s="77">
        <v>0</v>
      </c>
      <c r="AH465" s="77"/>
      <c r="AI465" s="77">
        <f t="shared" si="18"/>
        <v>1072981.75</v>
      </c>
      <c r="AJ465" s="24"/>
      <c r="AK465" s="15" t="str">
        <f>'Gen Rev'!A465</f>
        <v>New Vienna</v>
      </c>
      <c r="AL465" s="15" t="str">
        <f t="shared" si="19"/>
        <v>New Vienna</v>
      </c>
      <c r="AM465" s="15" t="b">
        <f t="shared" si="20"/>
        <v>1</v>
      </c>
      <c r="AN465" s="32"/>
      <c r="AO465" s="32"/>
      <c r="AP465" s="32"/>
    </row>
    <row r="466" spans="1:42" s="31" customFormat="1" ht="12" customHeight="1" x14ac:dyDescent="0.2">
      <c r="A466" s="1" t="s">
        <v>313</v>
      </c>
      <c r="B466" s="1"/>
      <c r="C466" s="1" t="s">
        <v>312</v>
      </c>
      <c r="D466" s="15"/>
      <c r="E466" s="77">
        <v>68355.960000000006</v>
      </c>
      <c r="F466" s="77"/>
      <c r="G466" s="77">
        <v>299403.42</v>
      </c>
      <c r="H466" s="77"/>
      <c r="I466" s="77">
        <v>119084.23</v>
      </c>
      <c r="J466" s="77"/>
      <c r="K466" s="77">
        <v>5162.5</v>
      </c>
      <c r="L466" s="77"/>
      <c r="M466" s="77">
        <v>33177.51</v>
      </c>
      <c r="N466" s="77"/>
      <c r="O466" s="77">
        <v>14340.41</v>
      </c>
      <c r="P466" s="77"/>
      <c r="Q466" s="77">
        <v>1279.3399999999999</v>
      </c>
      <c r="R466" s="77"/>
      <c r="S466" s="77">
        <v>36666.71</v>
      </c>
      <c r="T466" s="77"/>
      <c r="U466" s="77">
        <v>0</v>
      </c>
      <c r="V466" s="77"/>
      <c r="W466" s="77">
        <v>0</v>
      </c>
      <c r="X466" s="77"/>
      <c r="Y466" s="77">
        <v>0</v>
      </c>
      <c r="Z466" s="77"/>
      <c r="AA466" s="77">
        <v>97089.53</v>
      </c>
      <c r="AB466" s="77"/>
      <c r="AC466" s="77">
        <v>0</v>
      </c>
      <c r="AD466" s="77"/>
      <c r="AE466" s="77">
        <v>0</v>
      </c>
      <c r="AF466" s="77"/>
      <c r="AG466" s="77">
        <v>5700</v>
      </c>
      <c r="AH466" s="77"/>
      <c r="AI466" s="77">
        <f t="shared" si="18"/>
        <v>680259.61</v>
      </c>
      <c r="AJ466" s="24"/>
      <c r="AK466" s="15" t="str">
        <f>'Gen Rev'!A466</f>
        <v>New Washington</v>
      </c>
      <c r="AL466" s="15" t="str">
        <f t="shared" si="19"/>
        <v>New Washington</v>
      </c>
      <c r="AM466" s="15" t="b">
        <f t="shared" si="20"/>
        <v>1</v>
      </c>
    </row>
    <row r="467" spans="1:42" s="31" customFormat="1" ht="12" customHeight="1" x14ac:dyDescent="0.2">
      <c r="A467" s="1" t="s">
        <v>841</v>
      </c>
      <c r="B467" s="1"/>
      <c r="C467" s="1" t="s">
        <v>749</v>
      </c>
      <c r="D467" s="15"/>
      <c r="E467" s="77">
        <v>81480.53</v>
      </c>
      <c r="F467" s="77"/>
      <c r="G467" s="77">
        <v>0</v>
      </c>
      <c r="H467" s="77"/>
      <c r="I467" s="77">
        <v>90043.33</v>
      </c>
      <c r="J467" s="77"/>
      <c r="K467" s="77">
        <v>0</v>
      </c>
      <c r="L467" s="77"/>
      <c r="M467" s="77">
        <v>60300</v>
      </c>
      <c r="N467" s="77"/>
      <c r="O467" s="77">
        <v>62945.77</v>
      </c>
      <c r="P467" s="77"/>
      <c r="Q467" s="77">
        <v>888.02</v>
      </c>
      <c r="R467" s="77"/>
      <c r="S467" s="77">
        <v>75475.48</v>
      </c>
      <c r="T467" s="77"/>
      <c r="U467" s="77">
        <v>0</v>
      </c>
      <c r="V467" s="77"/>
      <c r="W467" s="77">
        <v>0</v>
      </c>
      <c r="X467" s="77"/>
      <c r="Y467" s="77">
        <v>0</v>
      </c>
      <c r="Z467" s="77"/>
      <c r="AA467" s="77">
        <v>133501</v>
      </c>
      <c r="AB467" s="77"/>
      <c r="AC467" s="77">
        <v>1300</v>
      </c>
      <c r="AD467" s="77"/>
      <c r="AE467" s="77">
        <v>2902.03</v>
      </c>
      <c r="AF467" s="77"/>
      <c r="AG467" s="77">
        <v>0</v>
      </c>
      <c r="AH467" s="77"/>
      <c r="AI467" s="77">
        <f t="shared" si="18"/>
        <v>508836.16000000003</v>
      </c>
      <c r="AJ467" s="24"/>
      <c r="AK467" s="15" t="str">
        <f>'Gen Rev'!A467</f>
        <v>New Waterford</v>
      </c>
      <c r="AL467" s="15" t="str">
        <f t="shared" si="19"/>
        <v>New Waterford</v>
      </c>
      <c r="AM467" s="15" t="b">
        <f t="shared" si="20"/>
        <v>1</v>
      </c>
    </row>
    <row r="468" spans="1:42" s="31" customFormat="1" ht="12" customHeight="1" x14ac:dyDescent="0.2">
      <c r="A468" s="37" t="s">
        <v>333</v>
      </c>
      <c r="B468" s="37"/>
      <c r="C468" s="37" t="s">
        <v>329</v>
      </c>
      <c r="D468" s="37"/>
      <c r="E468" s="77">
        <v>6831</v>
      </c>
      <c r="F468" s="77"/>
      <c r="G468" s="77">
        <v>0</v>
      </c>
      <c r="H468" s="77"/>
      <c r="I468" s="77">
        <v>34295</v>
      </c>
      <c r="J468" s="77"/>
      <c r="K468" s="77">
        <v>26595</v>
      </c>
      <c r="L468" s="77"/>
      <c r="M468" s="77">
        <v>0</v>
      </c>
      <c r="N468" s="77"/>
      <c r="O468" s="77">
        <v>0</v>
      </c>
      <c r="P468" s="77"/>
      <c r="Q468" s="77">
        <v>0</v>
      </c>
      <c r="R468" s="77"/>
      <c r="S468" s="77">
        <v>1743</v>
      </c>
      <c r="T468" s="77"/>
      <c r="U468" s="77">
        <v>0</v>
      </c>
      <c r="V468" s="77"/>
      <c r="W468" s="77">
        <v>0</v>
      </c>
      <c r="X468" s="77"/>
      <c r="Y468" s="77">
        <v>0</v>
      </c>
      <c r="Z468" s="77"/>
      <c r="AA468" s="77">
        <v>0</v>
      </c>
      <c r="AB468" s="77"/>
      <c r="AC468" s="77">
        <v>0</v>
      </c>
      <c r="AD468" s="77"/>
      <c r="AE468" s="77">
        <v>0</v>
      </c>
      <c r="AF468" s="77"/>
      <c r="AG468" s="77">
        <v>0</v>
      </c>
      <c r="AH468" s="77"/>
      <c r="AI468" s="77">
        <f t="shared" si="18"/>
        <v>69464</v>
      </c>
      <c r="AJ468" s="37"/>
      <c r="AK468" s="15" t="str">
        <f>'Gen Rev'!A468</f>
        <v>New Weston</v>
      </c>
      <c r="AL468" s="15" t="str">
        <f t="shared" si="19"/>
        <v>New Weston</v>
      </c>
      <c r="AM468" s="15" t="b">
        <f t="shared" si="20"/>
        <v>1</v>
      </c>
      <c r="AN468" s="74"/>
      <c r="AO468" s="74"/>
      <c r="AP468" s="74"/>
    </row>
    <row r="469" spans="1:42" s="31" customFormat="1" ht="12" customHeight="1" x14ac:dyDescent="0.2">
      <c r="A469" s="15" t="s">
        <v>324</v>
      </c>
      <c r="B469" s="15"/>
      <c r="C469" s="15" t="s">
        <v>316</v>
      </c>
      <c r="D469" s="15"/>
      <c r="E469" s="77">
        <v>627685</v>
      </c>
      <c r="F469" s="77"/>
      <c r="G469" s="77">
        <v>727946</v>
      </c>
      <c r="H469" s="77"/>
      <c r="I469" s="77">
        <v>169619</v>
      </c>
      <c r="J469" s="77"/>
      <c r="K469" s="77">
        <v>0</v>
      </c>
      <c r="L469" s="77"/>
      <c r="M469" s="77">
        <v>227822</v>
      </c>
      <c r="N469" s="77"/>
      <c r="O469" s="77">
        <v>417879</v>
      </c>
      <c r="P469" s="77"/>
      <c r="Q469" s="77">
        <v>37</v>
      </c>
      <c r="R469" s="77"/>
      <c r="S469" s="77">
        <v>217225</v>
      </c>
      <c r="T469" s="77"/>
      <c r="U469" s="77">
        <v>404848</v>
      </c>
      <c r="V469" s="77"/>
      <c r="W469" s="77">
        <v>0</v>
      </c>
      <c r="X469" s="77"/>
      <c r="Y469" s="77">
        <v>0</v>
      </c>
      <c r="Z469" s="77"/>
      <c r="AA469" s="77">
        <v>2800</v>
      </c>
      <c r="AB469" s="77"/>
      <c r="AC469" s="77">
        <v>0</v>
      </c>
      <c r="AD469" s="77"/>
      <c r="AE469" s="77">
        <v>0</v>
      </c>
      <c r="AF469" s="77"/>
      <c r="AG469" s="77">
        <v>0</v>
      </c>
      <c r="AH469" s="77"/>
      <c r="AI469" s="77">
        <f t="shared" si="18"/>
        <v>2795861</v>
      </c>
      <c r="AJ469" s="24"/>
      <c r="AK469" s="15" t="str">
        <f>'Gen Rev'!A469</f>
        <v>Newburgh Heights</v>
      </c>
      <c r="AL469" s="15" t="str">
        <f t="shared" si="19"/>
        <v>Newburgh Heights</v>
      </c>
      <c r="AM469" s="15" t="b">
        <f t="shared" si="20"/>
        <v>1</v>
      </c>
      <c r="AN469" s="32"/>
      <c r="AO469" s="32"/>
      <c r="AP469" s="32"/>
    </row>
    <row r="470" spans="1:42" s="31" customFormat="1" ht="12" customHeight="1" x14ac:dyDescent="0.2">
      <c r="A470" s="15" t="s">
        <v>564</v>
      </c>
      <c r="B470" s="15"/>
      <c r="C470" s="15" t="s">
        <v>560</v>
      </c>
      <c r="D470" s="15"/>
      <c r="E470" s="77">
        <v>156938</v>
      </c>
      <c r="F470" s="77"/>
      <c r="G470" s="77">
        <v>1075097</v>
      </c>
      <c r="H470" s="77"/>
      <c r="I470" s="77">
        <v>366303</v>
      </c>
      <c r="J470" s="77"/>
      <c r="K470" s="77">
        <v>4553</v>
      </c>
      <c r="L470" s="77"/>
      <c r="M470" s="77">
        <f>69099+4860</f>
        <v>73959</v>
      </c>
      <c r="N470" s="77"/>
      <c r="O470" s="77">
        <v>36060</v>
      </c>
      <c r="P470" s="77"/>
      <c r="Q470" s="77">
        <v>1436</v>
      </c>
      <c r="R470" s="77"/>
      <c r="S470" s="77">
        <f>36758+1050</f>
        <v>37808</v>
      </c>
      <c r="T470" s="77"/>
      <c r="U470" s="77">
        <v>0</v>
      </c>
      <c r="V470" s="77"/>
      <c r="W470" s="77">
        <v>0</v>
      </c>
      <c r="X470" s="77"/>
      <c r="Y470" s="77">
        <v>0</v>
      </c>
      <c r="Z470" s="77"/>
      <c r="AA470" s="77">
        <v>10000</v>
      </c>
      <c r="AB470" s="77"/>
      <c r="AC470" s="77">
        <v>0</v>
      </c>
      <c r="AD470" s="77"/>
      <c r="AE470" s="77">
        <v>0</v>
      </c>
      <c r="AF470" s="77"/>
      <c r="AG470" s="77">
        <v>0</v>
      </c>
      <c r="AH470" s="77"/>
      <c r="AI470" s="77">
        <f t="shared" si="18"/>
        <v>1762154</v>
      </c>
      <c r="AJ470" s="24"/>
      <c r="AK470" s="15" t="str">
        <f>'Gen Rev'!A470</f>
        <v>Newcomerstown</v>
      </c>
      <c r="AL470" s="15" t="str">
        <f t="shared" si="19"/>
        <v>Newcomerstown</v>
      </c>
      <c r="AM470" s="15" t="b">
        <f t="shared" si="20"/>
        <v>1</v>
      </c>
      <c r="AN470" s="15"/>
      <c r="AO470" s="15"/>
      <c r="AP470" s="15"/>
    </row>
    <row r="471" spans="1:42" ht="12" customHeight="1" x14ac:dyDescent="0.2">
      <c r="A471" s="15" t="s">
        <v>943</v>
      </c>
      <c r="C471" s="15" t="s">
        <v>805</v>
      </c>
      <c r="E471" s="77">
        <v>1198962</v>
      </c>
      <c r="F471" s="77"/>
      <c r="G471" s="77">
        <v>0</v>
      </c>
      <c r="H471" s="77"/>
      <c r="I471" s="77">
        <v>556166</v>
      </c>
      <c r="J471" s="77"/>
      <c r="K471" s="77">
        <v>0</v>
      </c>
      <c r="L471" s="77"/>
      <c r="M471" s="77">
        <v>31249</v>
      </c>
      <c r="N471" s="77"/>
      <c r="O471" s="77">
        <v>979303</v>
      </c>
      <c r="P471" s="77"/>
      <c r="Q471" s="77">
        <v>117979</v>
      </c>
      <c r="R471" s="77"/>
      <c r="S471" s="77">
        <v>34386</v>
      </c>
      <c r="T471" s="77"/>
      <c r="U471" s="77">
        <v>0</v>
      </c>
      <c r="V471" s="77"/>
      <c r="W471" s="77">
        <v>0</v>
      </c>
      <c r="X471" s="77"/>
      <c r="Y471" s="77">
        <v>0</v>
      </c>
      <c r="Z471" s="77"/>
      <c r="AA471" s="77">
        <f>699965+39242</f>
        <v>739207</v>
      </c>
      <c r="AB471" s="77"/>
      <c r="AC471" s="77">
        <v>100</v>
      </c>
      <c r="AD471" s="77"/>
      <c r="AE471" s="77">
        <v>668494</v>
      </c>
      <c r="AF471" s="77"/>
      <c r="AG471" s="77">
        <v>0</v>
      </c>
      <c r="AH471" s="77"/>
      <c r="AI471" s="77">
        <f t="shared" si="18"/>
        <v>4325846</v>
      </c>
      <c r="AJ471" s="24"/>
      <c r="AK471" s="15" t="str">
        <f>'Gen Rev'!A471</f>
        <v>Newton Falls</v>
      </c>
      <c r="AL471" s="15" t="str">
        <f t="shared" si="19"/>
        <v>Newton Falls</v>
      </c>
      <c r="AM471" s="15" t="b">
        <f t="shared" si="20"/>
        <v>1</v>
      </c>
    </row>
    <row r="472" spans="1:42" ht="12" hidden="1" customHeight="1" x14ac:dyDescent="0.2">
      <c r="A472" s="1" t="s">
        <v>684</v>
      </c>
      <c r="B472" s="1"/>
      <c r="C472" s="1" t="s">
        <v>295</v>
      </c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>
        <f t="shared" si="18"/>
        <v>0</v>
      </c>
      <c r="AJ472" s="24"/>
      <c r="AK472" s="15" t="str">
        <f>'Gen Rev'!A472</f>
        <v>Newtonville</v>
      </c>
      <c r="AL472" s="15" t="str">
        <f t="shared" si="19"/>
        <v>Newtonville</v>
      </c>
      <c r="AM472" s="15" t="b">
        <f t="shared" si="20"/>
        <v>1</v>
      </c>
    </row>
    <row r="473" spans="1:42" ht="12" customHeight="1" x14ac:dyDescent="0.2">
      <c r="A473" s="1" t="s">
        <v>96</v>
      </c>
      <c r="B473" s="1"/>
      <c r="C473" s="1" t="s">
        <v>763</v>
      </c>
      <c r="D473" s="24"/>
      <c r="E473" s="77">
        <v>205760.01</v>
      </c>
      <c r="F473" s="77"/>
      <c r="G473" s="77">
        <v>1329342.02</v>
      </c>
      <c r="H473" s="77"/>
      <c r="I473" s="77">
        <v>327977.38</v>
      </c>
      <c r="J473" s="77"/>
      <c r="K473" s="77">
        <v>0</v>
      </c>
      <c r="L473" s="77"/>
      <c r="M473" s="77">
        <v>31731.62</v>
      </c>
      <c r="N473" s="77"/>
      <c r="O473" s="77">
        <v>146047.81</v>
      </c>
      <c r="P473" s="77"/>
      <c r="Q473" s="77">
        <v>648.66999999999996</v>
      </c>
      <c r="R473" s="77"/>
      <c r="S473" s="77">
        <v>39337.35</v>
      </c>
      <c r="T473" s="77"/>
      <c r="U473" s="77">
        <v>0</v>
      </c>
      <c r="V473" s="77"/>
      <c r="W473" s="77">
        <v>0</v>
      </c>
      <c r="X473" s="77"/>
      <c r="Y473" s="77">
        <v>500</v>
      </c>
      <c r="Z473" s="77"/>
      <c r="AA473" s="77">
        <v>277426.33</v>
      </c>
      <c r="AB473" s="77"/>
      <c r="AC473" s="77">
        <v>0</v>
      </c>
      <c r="AD473" s="77"/>
      <c r="AE473" s="77">
        <v>0</v>
      </c>
      <c r="AF473" s="77"/>
      <c r="AG473" s="77">
        <v>0</v>
      </c>
      <c r="AH473" s="77"/>
      <c r="AI473" s="77">
        <f t="shared" si="18"/>
        <v>2358771.1900000004</v>
      </c>
      <c r="AJ473" s="24"/>
      <c r="AK473" s="15" t="str">
        <f>'Gen Rev'!A473</f>
        <v>Newtown</v>
      </c>
      <c r="AL473" s="15" t="str">
        <f t="shared" si="19"/>
        <v>Newtown</v>
      </c>
      <c r="AM473" s="15" t="b">
        <f t="shared" si="20"/>
        <v>1</v>
      </c>
      <c r="AN473" s="24"/>
      <c r="AO473" s="24"/>
      <c r="AP473" s="24"/>
    </row>
    <row r="474" spans="1:42" s="31" customFormat="1" ht="12" customHeight="1" x14ac:dyDescent="0.2">
      <c r="A474" s="1" t="s">
        <v>55</v>
      </c>
      <c r="B474" s="1"/>
      <c r="C474" s="1" t="s">
        <v>753</v>
      </c>
      <c r="D474" s="15"/>
      <c r="E474" s="77">
        <v>13022.32</v>
      </c>
      <c r="F474" s="77"/>
      <c r="G474" s="77">
        <v>0</v>
      </c>
      <c r="H474" s="77"/>
      <c r="I474" s="77">
        <v>250173.1</v>
      </c>
      <c r="J474" s="77"/>
      <c r="K474" s="77">
        <v>4880.37</v>
      </c>
      <c r="L474" s="77"/>
      <c r="M474" s="77">
        <v>0</v>
      </c>
      <c r="N474" s="77"/>
      <c r="O474" s="77">
        <v>0</v>
      </c>
      <c r="P474" s="77"/>
      <c r="Q474" s="77">
        <v>241.68</v>
      </c>
      <c r="R474" s="77"/>
      <c r="S474" s="77">
        <v>17551.54</v>
      </c>
      <c r="T474" s="77"/>
      <c r="U474" s="77">
        <v>0</v>
      </c>
      <c r="V474" s="77"/>
      <c r="W474" s="77">
        <v>0</v>
      </c>
      <c r="X474" s="77"/>
      <c r="Y474" s="77">
        <v>0</v>
      </c>
      <c r="Z474" s="77"/>
      <c r="AA474" s="77">
        <v>0</v>
      </c>
      <c r="AB474" s="77"/>
      <c r="AC474" s="77">
        <v>0</v>
      </c>
      <c r="AD474" s="77"/>
      <c r="AE474" s="77">
        <v>1008.19</v>
      </c>
      <c r="AF474" s="77"/>
      <c r="AG474" s="77">
        <v>0</v>
      </c>
      <c r="AH474" s="77"/>
      <c r="AI474" s="77">
        <f t="shared" si="18"/>
        <v>286877.19999999995</v>
      </c>
      <c r="AJ474" s="24"/>
      <c r="AK474" s="15" t="str">
        <f>'Gen Rev'!A474</f>
        <v>Ney</v>
      </c>
      <c r="AL474" s="15" t="str">
        <f t="shared" si="19"/>
        <v>Ney</v>
      </c>
      <c r="AM474" s="15" t="b">
        <f t="shared" si="20"/>
        <v>1</v>
      </c>
    </row>
    <row r="475" spans="1:42" s="31" customFormat="1" ht="12" customHeight="1" x14ac:dyDescent="0.2">
      <c r="A475" s="15" t="s">
        <v>605</v>
      </c>
      <c r="B475" s="15"/>
      <c r="C475" s="15" t="s">
        <v>601</v>
      </c>
      <c r="D475" s="15"/>
      <c r="E475" s="77">
        <v>288247</v>
      </c>
      <c r="F475" s="77"/>
      <c r="G475" s="77">
        <v>666873</v>
      </c>
      <c r="H475" s="77"/>
      <c r="I475" s="77">
        <v>5123372</v>
      </c>
      <c r="J475" s="77"/>
      <c r="K475" s="77">
        <v>135132</v>
      </c>
      <c r="L475" s="77"/>
      <c r="M475" s="77">
        <v>79414</v>
      </c>
      <c r="N475" s="77"/>
      <c r="O475" s="77">
        <v>116108</v>
      </c>
      <c r="P475" s="77"/>
      <c r="Q475" s="77">
        <v>9762</v>
      </c>
      <c r="R475" s="77"/>
      <c r="S475" s="77">
        <v>4257</v>
      </c>
      <c r="T475" s="77"/>
      <c r="U475" s="77">
        <v>0</v>
      </c>
      <c r="V475" s="77"/>
      <c r="W475" s="77">
        <v>0</v>
      </c>
      <c r="X475" s="77"/>
      <c r="Y475" s="77">
        <v>0</v>
      </c>
      <c r="Z475" s="77"/>
      <c r="AA475" s="77">
        <v>383047</v>
      </c>
      <c r="AB475" s="77"/>
      <c r="AC475" s="77">
        <v>0</v>
      </c>
      <c r="AD475" s="77"/>
      <c r="AE475" s="77">
        <v>0</v>
      </c>
      <c r="AF475" s="77"/>
      <c r="AG475" s="77">
        <v>0</v>
      </c>
      <c r="AH475" s="77"/>
      <c r="AI475" s="77">
        <f t="shared" ref="AI475:AI541" si="21">SUM(E475:AG475)</f>
        <v>6806212</v>
      </c>
      <c r="AJ475" s="24"/>
      <c r="AK475" s="15" t="str">
        <f>'Gen Rev'!A475</f>
        <v>North Baltimore</v>
      </c>
      <c r="AL475" s="15" t="str">
        <f t="shared" ref="AL475:AL541" si="22">A475</f>
        <v>North Baltimore</v>
      </c>
      <c r="AM475" s="15" t="b">
        <f t="shared" ref="AM475:AM541" si="23">AK475=AL475</f>
        <v>1</v>
      </c>
      <c r="AN475" s="15"/>
      <c r="AO475" s="15"/>
      <c r="AP475" s="15"/>
    </row>
    <row r="476" spans="1:42" ht="12" customHeight="1" x14ac:dyDescent="0.2">
      <c r="A476" s="1" t="s">
        <v>97</v>
      </c>
      <c r="B476" s="1"/>
      <c r="C476" s="1" t="s">
        <v>763</v>
      </c>
      <c r="E476" s="77">
        <v>364733.87</v>
      </c>
      <c r="F476" s="77"/>
      <c r="G476" s="77">
        <v>0</v>
      </c>
      <c r="H476" s="77"/>
      <c r="I476" s="77">
        <v>138282.51</v>
      </c>
      <c r="J476" s="77"/>
      <c r="K476" s="77">
        <v>8882.74</v>
      </c>
      <c r="L476" s="77"/>
      <c r="M476" s="77">
        <v>0</v>
      </c>
      <c r="N476" s="77"/>
      <c r="O476" s="77">
        <v>18701.18</v>
      </c>
      <c r="P476" s="77"/>
      <c r="Q476" s="77">
        <v>0.5</v>
      </c>
      <c r="R476" s="77"/>
      <c r="S476" s="77">
        <v>2147.7800000000002</v>
      </c>
      <c r="T476" s="77"/>
      <c r="U476" s="77">
        <v>0</v>
      </c>
      <c r="V476" s="77"/>
      <c r="W476" s="77">
        <v>0</v>
      </c>
      <c r="X476" s="77"/>
      <c r="Y476" s="77">
        <v>0</v>
      </c>
      <c r="Z476" s="77"/>
      <c r="AA476" s="77">
        <v>116000</v>
      </c>
      <c r="AB476" s="77"/>
      <c r="AC476" s="77">
        <v>0</v>
      </c>
      <c r="AD476" s="77"/>
      <c r="AE476" s="77">
        <v>0</v>
      </c>
      <c r="AF476" s="77"/>
      <c r="AG476" s="77">
        <v>0</v>
      </c>
      <c r="AH476" s="77"/>
      <c r="AI476" s="77">
        <f t="shared" si="21"/>
        <v>648748.58000000007</v>
      </c>
      <c r="AJ476" s="24"/>
      <c r="AK476" s="15" t="str">
        <f>'Gen Rev'!A476</f>
        <v>North Bend</v>
      </c>
      <c r="AL476" s="15" t="str">
        <f t="shared" si="22"/>
        <v>North Bend</v>
      </c>
      <c r="AM476" s="15" t="b">
        <f t="shared" si="23"/>
        <v>1</v>
      </c>
    </row>
    <row r="477" spans="1:42" ht="12" customHeight="1" x14ac:dyDescent="0.2">
      <c r="A477" s="1" t="s">
        <v>418</v>
      </c>
      <c r="B477" s="1"/>
      <c r="C477" s="1" t="s">
        <v>416</v>
      </c>
      <c r="E477" s="77">
        <v>23357.19</v>
      </c>
      <c r="F477" s="77"/>
      <c r="G477" s="77">
        <v>0</v>
      </c>
      <c r="H477" s="77"/>
      <c r="I477" s="77">
        <v>75935.09</v>
      </c>
      <c r="J477" s="77"/>
      <c r="K477" s="77">
        <v>0</v>
      </c>
      <c r="L477" s="77"/>
      <c r="M477" s="77">
        <v>25991</v>
      </c>
      <c r="N477" s="77"/>
      <c r="O477" s="77">
        <v>4908.8100000000004</v>
      </c>
      <c r="P477" s="77"/>
      <c r="Q477" s="77">
        <v>609.74</v>
      </c>
      <c r="R477" s="77"/>
      <c r="S477" s="77">
        <v>0</v>
      </c>
      <c r="T477" s="77"/>
      <c r="U477" s="77">
        <v>0</v>
      </c>
      <c r="V477" s="77"/>
      <c r="W477" s="77">
        <v>0</v>
      </c>
      <c r="X477" s="77"/>
      <c r="Y477" s="77">
        <v>0</v>
      </c>
      <c r="Z477" s="77"/>
      <c r="AA477" s="77">
        <v>0</v>
      </c>
      <c r="AB477" s="77"/>
      <c r="AC477" s="77">
        <v>0</v>
      </c>
      <c r="AD477" s="77"/>
      <c r="AE477" s="77">
        <v>12347.53</v>
      </c>
      <c r="AF477" s="77"/>
      <c r="AG477" s="77">
        <v>0</v>
      </c>
      <c r="AH477" s="77"/>
      <c r="AI477" s="77">
        <f t="shared" si="21"/>
        <v>143149.36000000002</v>
      </c>
      <c r="AJ477" s="24"/>
      <c r="AK477" s="15" t="str">
        <f>'Gen Rev'!A477</f>
        <v>North Fairfield</v>
      </c>
      <c r="AL477" s="15" t="str">
        <f t="shared" si="22"/>
        <v>North Fairfield</v>
      </c>
      <c r="AM477" s="15" t="b">
        <f t="shared" si="23"/>
        <v>1</v>
      </c>
      <c r="AN477" s="31"/>
      <c r="AO477" s="31"/>
      <c r="AP477" s="31"/>
    </row>
    <row r="478" spans="1:42" ht="12" customHeight="1" x14ac:dyDescent="0.2">
      <c r="A478" s="1" t="s">
        <v>293</v>
      </c>
      <c r="B478" s="1"/>
      <c r="C478" s="1" t="s">
        <v>292</v>
      </c>
      <c r="E478" s="77">
        <v>23409.66</v>
      </c>
      <c r="F478" s="77"/>
      <c r="G478" s="77">
        <v>0</v>
      </c>
      <c r="H478" s="77"/>
      <c r="I478" s="77">
        <v>29703.39</v>
      </c>
      <c r="J478" s="77"/>
      <c r="K478" s="77">
        <v>0</v>
      </c>
      <c r="L478" s="77"/>
      <c r="M478" s="77">
        <v>0</v>
      </c>
      <c r="N478" s="77"/>
      <c r="O478" s="77">
        <v>220401.01</v>
      </c>
      <c r="P478" s="77"/>
      <c r="Q478" s="77">
        <v>90.07</v>
      </c>
      <c r="R478" s="77"/>
      <c r="S478" s="77">
        <v>16771.16</v>
      </c>
      <c r="T478" s="77"/>
      <c r="U478" s="77">
        <v>0</v>
      </c>
      <c r="V478" s="77"/>
      <c r="W478" s="77">
        <v>0</v>
      </c>
      <c r="X478" s="77"/>
      <c r="Y478" s="77">
        <v>0</v>
      </c>
      <c r="Z478" s="77"/>
      <c r="AA478" s="77">
        <v>0</v>
      </c>
      <c r="AB478" s="77"/>
      <c r="AC478" s="77">
        <v>0</v>
      </c>
      <c r="AD478" s="77"/>
      <c r="AE478" s="77">
        <v>0</v>
      </c>
      <c r="AF478" s="77"/>
      <c r="AG478" s="77">
        <v>250</v>
      </c>
      <c r="AH478" s="77"/>
      <c r="AI478" s="77">
        <f t="shared" si="21"/>
        <v>290625.28999999998</v>
      </c>
      <c r="AJ478" s="24"/>
      <c r="AK478" s="15" t="str">
        <f>'Gen Rev'!A478</f>
        <v>North Hampton</v>
      </c>
      <c r="AL478" s="15" t="str">
        <f t="shared" si="22"/>
        <v>North Hampton</v>
      </c>
      <c r="AM478" s="15" t="b">
        <f t="shared" si="23"/>
        <v>1</v>
      </c>
      <c r="AN478" s="30"/>
      <c r="AO478" s="30"/>
      <c r="AP478" s="30"/>
    </row>
    <row r="479" spans="1:42" ht="12" customHeight="1" x14ac:dyDescent="0.2">
      <c r="A479" s="1" t="s">
        <v>685</v>
      </c>
      <c r="B479" s="1"/>
      <c r="C479" s="1" t="s">
        <v>671</v>
      </c>
      <c r="E479" s="77">
        <v>307031.73</v>
      </c>
      <c r="F479" s="77"/>
      <c r="G479" s="77">
        <v>576091.71</v>
      </c>
      <c r="H479" s="77"/>
      <c r="I479" s="77">
        <v>248559.41</v>
      </c>
      <c r="J479" s="77"/>
      <c r="K479" s="77">
        <v>12428.5</v>
      </c>
      <c r="L479" s="77"/>
      <c r="M479" s="77">
        <v>34906.75</v>
      </c>
      <c r="N479" s="77"/>
      <c r="O479" s="77">
        <v>172310.72</v>
      </c>
      <c r="P479" s="77"/>
      <c r="Q479" s="77">
        <v>231.03</v>
      </c>
      <c r="R479" s="77"/>
      <c r="S479" s="77">
        <v>18245.36</v>
      </c>
      <c r="T479" s="77"/>
      <c r="U479" s="77">
        <v>515000</v>
      </c>
      <c r="V479" s="77"/>
      <c r="W479" s="77">
        <v>0</v>
      </c>
      <c r="X479" s="77"/>
      <c r="Y479" s="77">
        <v>678</v>
      </c>
      <c r="Z479" s="77"/>
      <c r="AA479" s="77">
        <v>185203</v>
      </c>
      <c r="AB479" s="77"/>
      <c r="AC479" s="77">
        <v>30620</v>
      </c>
      <c r="AD479" s="77"/>
      <c r="AE479" s="77">
        <v>0</v>
      </c>
      <c r="AF479" s="77"/>
      <c r="AG479" s="77">
        <v>0</v>
      </c>
      <c r="AH479" s="77"/>
      <c r="AI479" s="77">
        <f t="shared" si="21"/>
        <v>2101306.21</v>
      </c>
      <c r="AJ479" s="24"/>
      <c r="AK479" s="15" t="str">
        <f>'Gen Rev'!A479</f>
        <v>North Kingsville</v>
      </c>
      <c r="AL479" s="15" t="str">
        <f t="shared" si="22"/>
        <v>North Kingsville</v>
      </c>
      <c r="AM479" s="15" t="b">
        <f t="shared" si="23"/>
        <v>1</v>
      </c>
      <c r="AN479" s="31"/>
      <c r="AO479" s="31"/>
      <c r="AP479" s="31"/>
    </row>
    <row r="480" spans="1:42" s="31" customFormat="1" ht="12" customHeight="1" x14ac:dyDescent="0.2">
      <c r="A480" s="1" t="s">
        <v>289</v>
      </c>
      <c r="B480" s="1"/>
      <c r="C480" s="1" t="s">
        <v>287</v>
      </c>
      <c r="D480" s="15"/>
      <c r="E480" s="77">
        <v>42122.239999999998</v>
      </c>
      <c r="F480" s="77"/>
      <c r="G480" s="77">
        <v>208479.03</v>
      </c>
      <c r="H480" s="77"/>
      <c r="I480" s="77">
        <v>70996.259999999995</v>
      </c>
      <c r="J480" s="77"/>
      <c r="K480" s="77">
        <v>0</v>
      </c>
      <c r="L480" s="77"/>
      <c r="M480" s="77">
        <v>840</v>
      </c>
      <c r="N480" s="77"/>
      <c r="O480" s="77">
        <v>19055.53</v>
      </c>
      <c r="P480" s="77"/>
      <c r="Q480" s="77">
        <v>2165.06</v>
      </c>
      <c r="R480" s="77"/>
      <c r="S480" s="77">
        <v>0</v>
      </c>
      <c r="T480" s="77"/>
      <c r="U480" s="77">
        <v>0</v>
      </c>
      <c r="V480" s="77"/>
      <c r="W480" s="77">
        <v>0</v>
      </c>
      <c r="X480" s="77"/>
      <c r="Y480" s="77">
        <v>0</v>
      </c>
      <c r="Z480" s="77"/>
      <c r="AA480" s="77">
        <v>0</v>
      </c>
      <c r="AB480" s="77"/>
      <c r="AC480" s="77">
        <v>0</v>
      </c>
      <c r="AD480" s="77"/>
      <c r="AE480" s="77">
        <v>63458.12</v>
      </c>
      <c r="AF480" s="77"/>
      <c r="AG480" s="77">
        <v>0</v>
      </c>
      <c r="AH480" s="77"/>
      <c r="AI480" s="77">
        <f t="shared" si="21"/>
        <v>407116.23999999993</v>
      </c>
      <c r="AJ480" s="24"/>
      <c r="AK480" s="15" t="str">
        <f>'Gen Rev'!A480</f>
        <v>North Lewisburg</v>
      </c>
      <c r="AL480" s="15" t="str">
        <f t="shared" si="22"/>
        <v>North Lewisburg</v>
      </c>
      <c r="AM480" s="15" t="b">
        <f t="shared" si="23"/>
        <v>1</v>
      </c>
    </row>
    <row r="481" spans="1:42" s="37" customFormat="1" ht="12" customHeight="1" x14ac:dyDescent="0.2">
      <c r="A481" s="10" t="s">
        <v>124</v>
      </c>
      <c r="B481" s="10"/>
      <c r="C481" s="10" t="s">
        <v>772</v>
      </c>
      <c r="D481" s="15"/>
      <c r="E481" s="77">
        <v>567511.72</v>
      </c>
      <c r="F481" s="77"/>
      <c r="G481" s="77">
        <v>1071111.29</v>
      </c>
      <c r="H481" s="77"/>
      <c r="I481" s="77">
        <v>465519.63</v>
      </c>
      <c r="J481" s="77"/>
      <c r="K481" s="77">
        <v>0</v>
      </c>
      <c r="L481" s="77"/>
      <c r="M481" s="77">
        <v>2100</v>
      </c>
      <c r="N481" s="77"/>
      <c r="O481" s="77">
        <v>22392.75</v>
      </c>
      <c r="P481" s="77"/>
      <c r="Q481" s="77">
        <v>99166.89</v>
      </c>
      <c r="R481" s="77"/>
      <c r="S481" s="77">
        <v>15488.67</v>
      </c>
      <c r="T481" s="77"/>
      <c r="U481" s="77">
        <v>0</v>
      </c>
      <c r="V481" s="77"/>
      <c r="W481" s="77">
        <v>0</v>
      </c>
      <c r="X481" s="77"/>
      <c r="Y481" s="77">
        <v>0</v>
      </c>
      <c r="Z481" s="77"/>
      <c r="AA481" s="77">
        <v>662012.5</v>
      </c>
      <c r="AB481" s="77"/>
      <c r="AC481" s="77">
        <v>0</v>
      </c>
      <c r="AD481" s="77"/>
      <c r="AE481" s="77">
        <v>0</v>
      </c>
      <c r="AF481" s="77"/>
      <c r="AG481" s="77">
        <v>0</v>
      </c>
      <c r="AH481" s="77"/>
      <c r="AI481" s="77">
        <f t="shared" si="21"/>
        <v>2905303.45</v>
      </c>
      <c r="AJ481" s="24"/>
      <c r="AK481" s="15" t="str">
        <f>'Gen Rev'!A481</f>
        <v>North Perry</v>
      </c>
      <c r="AL481" s="15" t="str">
        <f t="shared" si="22"/>
        <v>North Perry</v>
      </c>
      <c r="AM481" s="15" t="b">
        <f t="shared" si="23"/>
        <v>1</v>
      </c>
      <c r="AN481" s="31"/>
      <c r="AO481" s="31"/>
      <c r="AP481" s="31"/>
    </row>
    <row r="482" spans="1:42" ht="12" customHeight="1" x14ac:dyDescent="0.2">
      <c r="A482" s="15" t="s">
        <v>831</v>
      </c>
      <c r="C482" s="15" t="s">
        <v>751</v>
      </c>
      <c r="E482" s="77">
        <v>297697</v>
      </c>
      <c r="F482" s="77"/>
      <c r="G482" s="77">
        <v>1064515</v>
      </c>
      <c r="H482" s="77"/>
      <c r="I482" s="77">
        <v>167605</v>
      </c>
      <c r="J482" s="77"/>
      <c r="K482" s="77">
        <v>30252</v>
      </c>
      <c r="L482" s="77"/>
      <c r="M482" s="77">
        <v>49936</v>
      </c>
      <c r="N482" s="77"/>
      <c r="O482" s="77">
        <v>199213</v>
      </c>
      <c r="P482" s="77"/>
      <c r="Q482" s="77">
        <v>0</v>
      </c>
      <c r="R482" s="77"/>
      <c r="S482" s="77">
        <v>35919</v>
      </c>
      <c r="T482" s="77"/>
      <c r="U482" s="77">
        <v>0</v>
      </c>
      <c r="V482" s="77"/>
      <c r="W482" s="77">
        <v>0</v>
      </c>
      <c r="X482" s="77"/>
      <c r="Y482" s="77">
        <v>25608</v>
      </c>
      <c r="Z482" s="77"/>
      <c r="AA482" s="77">
        <v>0</v>
      </c>
      <c r="AB482" s="77"/>
      <c r="AC482" s="77">
        <v>0</v>
      </c>
      <c r="AD482" s="77"/>
      <c r="AE482" s="77">
        <v>0</v>
      </c>
      <c r="AF482" s="77"/>
      <c r="AG482" s="77">
        <v>0</v>
      </c>
      <c r="AH482" s="77"/>
      <c r="AI482" s="77">
        <f t="shared" si="21"/>
        <v>1870745</v>
      </c>
      <c r="AJ482" s="24"/>
      <c r="AK482" s="15" t="str">
        <f>'Gen Rev'!A482</f>
        <v>North Randall</v>
      </c>
      <c r="AL482" s="15" t="str">
        <f t="shared" si="22"/>
        <v>North Randall</v>
      </c>
      <c r="AM482" s="15" t="b">
        <f t="shared" si="23"/>
        <v>1</v>
      </c>
      <c r="AN482" s="32"/>
      <c r="AO482" s="32"/>
      <c r="AP482" s="32"/>
    </row>
    <row r="483" spans="1:42" ht="12" customHeight="1" x14ac:dyDescent="0.2">
      <c r="A483" s="15" t="s">
        <v>314</v>
      </c>
      <c r="C483" s="15" t="s">
        <v>312</v>
      </c>
      <c r="E483" s="77">
        <v>7400</v>
      </c>
      <c r="F483" s="77"/>
      <c r="G483" s="77">
        <v>0</v>
      </c>
      <c r="H483" s="77"/>
      <c r="I483" s="77">
        <v>9212</v>
      </c>
      <c r="J483" s="77"/>
      <c r="K483" s="77">
        <v>9620</v>
      </c>
      <c r="L483" s="77"/>
      <c r="M483" s="77">
        <v>0</v>
      </c>
      <c r="N483" s="77"/>
      <c r="O483" s="77">
        <v>30</v>
      </c>
      <c r="P483" s="77"/>
      <c r="Q483" s="77">
        <v>137</v>
      </c>
      <c r="R483" s="77"/>
      <c r="S483" s="77">
        <v>0</v>
      </c>
      <c r="T483" s="77"/>
      <c r="U483" s="77">
        <v>0</v>
      </c>
      <c r="V483" s="77"/>
      <c r="W483" s="77">
        <v>0</v>
      </c>
      <c r="X483" s="77"/>
      <c r="Y483" s="77">
        <v>0</v>
      </c>
      <c r="Z483" s="77"/>
      <c r="AA483" s="77">
        <v>0</v>
      </c>
      <c r="AB483" s="77"/>
      <c r="AC483" s="77">
        <v>0</v>
      </c>
      <c r="AD483" s="77"/>
      <c r="AE483" s="77">
        <v>0</v>
      </c>
      <c r="AF483" s="77"/>
      <c r="AG483" s="77">
        <v>0</v>
      </c>
      <c r="AH483" s="77"/>
      <c r="AI483" s="77">
        <f t="shared" si="21"/>
        <v>26399</v>
      </c>
      <c r="AJ483" s="24"/>
      <c r="AK483" s="15" t="str">
        <f>'Gen Rev'!A483</f>
        <v>North Robinson</v>
      </c>
      <c r="AL483" s="15" t="str">
        <f t="shared" si="22"/>
        <v>North Robinson</v>
      </c>
      <c r="AM483" s="15" t="b">
        <f t="shared" si="23"/>
        <v>1</v>
      </c>
      <c r="AN483" s="32"/>
      <c r="AO483" s="32"/>
      <c r="AP483" s="32"/>
    </row>
    <row r="484" spans="1:42" ht="12" customHeight="1" x14ac:dyDescent="0.2">
      <c r="A484" s="15" t="s">
        <v>334</v>
      </c>
      <c r="C484" s="15" t="s">
        <v>329</v>
      </c>
      <c r="E484" s="77">
        <v>2672</v>
      </c>
      <c r="F484" s="77"/>
      <c r="G484" s="77">
        <v>21213</v>
      </c>
      <c r="H484" s="77"/>
      <c r="I484" s="77">
        <v>16004</v>
      </c>
      <c r="J484" s="77"/>
      <c r="K484" s="77">
        <v>10173</v>
      </c>
      <c r="L484" s="77"/>
      <c r="M484" s="77">
        <v>14925</v>
      </c>
      <c r="N484" s="77"/>
      <c r="O484" s="77">
        <v>1412</v>
      </c>
      <c r="P484" s="77"/>
      <c r="Q484" s="77">
        <v>896</v>
      </c>
      <c r="R484" s="77"/>
      <c r="S484" s="77">
        <v>255709</v>
      </c>
      <c r="T484" s="77"/>
      <c r="U484" s="77">
        <v>0</v>
      </c>
      <c r="V484" s="77"/>
      <c r="W484" s="77">
        <v>0</v>
      </c>
      <c r="X484" s="77"/>
      <c r="Y484" s="77">
        <v>0</v>
      </c>
      <c r="Z484" s="77"/>
      <c r="AA484" s="77">
        <v>0</v>
      </c>
      <c r="AB484" s="77"/>
      <c r="AC484" s="77">
        <v>0</v>
      </c>
      <c r="AD484" s="77"/>
      <c r="AE484" s="77">
        <v>0</v>
      </c>
      <c r="AF484" s="77"/>
      <c r="AG484" s="77">
        <v>0</v>
      </c>
      <c r="AH484" s="77"/>
      <c r="AI484" s="77">
        <f t="shared" si="21"/>
        <v>323004</v>
      </c>
      <c r="AJ484" s="24"/>
      <c r="AK484" s="15" t="str">
        <f>'Gen Rev'!A484</f>
        <v xml:space="preserve">North Star </v>
      </c>
      <c r="AL484" s="15" t="str">
        <f t="shared" si="22"/>
        <v xml:space="preserve">North Star </v>
      </c>
      <c r="AM484" s="15" t="b">
        <f t="shared" si="23"/>
        <v>1</v>
      </c>
      <c r="AN484" s="30"/>
      <c r="AO484" s="30"/>
      <c r="AP484" s="30"/>
    </row>
    <row r="485" spans="1:42" ht="12" customHeight="1" x14ac:dyDescent="0.2">
      <c r="A485" s="24" t="s">
        <v>551</v>
      </c>
      <c r="B485" s="24"/>
      <c r="C485" s="24" t="s">
        <v>549</v>
      </c>
      <c r="D485" s="24"/>
      <c r="E485" s="77">
        <v>1047760</v>
      </c>
      <c r="F485" s="77"/>
      <c r="G485" s="77">
        <v>1029198</v>
      </c>
      <c r="H485" s="77"/>
      <c r="I485" s="77">
        <v>412753</v>
      </c>
      <c r="J485" s="77"/>
      <c r="K485" s="77">
        <v>0</v>
      </c>
      <c r="L485" s="77"/>
      <c r="M485" s="77">
        <v>138269</v>
      </c>
      <c r="N485" s="77"/>
      <c r="O485" s="77">
        <v>57626</v>
      </c>
      <c r="P485" s="77"/>
      <c r="Q485" s="77">
        <v>18</v>
      </c>
      <c r="R485" s="77"/>
      <c r="S485" s="77">
        <v>13558</v>
      </c>
      <c r="T485" s="77"/>
      <c r="U485" s="77">
        <v>0</v>
      </c>
      <c r="V485" s="77"/>
      <c r="W485" s="77">
        <v>0</v>
      </c>
      <c r="X485" s="77"/>
      <c r="Y485" s="77">
        <v>0</v>
      </c>
      <c r="Z485" s="77"/>
      <c r="AA485" s="77">
        <v>0</v>
      </c>
      <c r="AB485" s="77"/>
      <c r="AC485" s="77">
        <v>0</v>
      </c>
      <c r="AD485" s="77"/>
      <c r="AE485" s="77">
        <v>0</v>
      </c>
      <c r="AF485" s="77"/>
      <c r="AG485" s="77">
        <v>0</v>
      </c>
      <c r="AH485" s="77"/>
      <c r="AI485" s="77">
        <f t="shared" si="21"/>
        <v>2699182</v>
      </c>
      <c r="AJ485" s="24"/>
      <c r="AK485" s="15" t="str">
        <f>'Gen Rev'!A485</f>
        <v>Northfield</v>
      </c>
      <c r="AL485" s="15" t="str">
        <f t="shared" si="22"/>
        <v>Northfield</v>
      </c>
      <c r="AM485" s="15" t="b">
        <f t="shared" si="23"/>
        <v>1</v>
      </c>
      <c r="AN485" s="24"/>
      <c r="AO485" s="24"/>
      <c r="AP485" s="24"/>
    </row>
    <row r="486" spans="1:42" ht="12" customHeight="1" x14ac:dyDescent="0.2">
      <c r="A486" s="1" t="s">
        <v>176</v>
      </c>
      <c r="B486" s="1"/>
      <c r="C486" s="1" t="s">
        <v>789</v>
      </c>
      <c r="E486" s="77">
        <v>11687.5</v>
      </c>
      <c r="F486" s="77"/>
      <c r="G486" s="77">
        <v>0</v>
      </c>
      <c r="H486" s="77"/>
      <c r="I486" s="77">
        <v>13237.43</v>
      </c>
      <c r="J486" s="77"/>
      <c r="K486" s="77">
        <v>0</v>
      </c>
      <c r="L486" s="77"/>
      <c r="M486" s="77">
        <v>0</v>
      </c>
      <c r="N486" s="77"/>
      <c r="O486" s="77">
        <v>0</v>
      </c>
      <c r="P486" s="77"/>
      <c r="Q486" s="77">
        <v>58.84</v>
      </c>
      <c r="R486" s="77"/>
      <c r="S486" s="77">
        <v>892.87</v>
      </c>
      <c r="T486" s="77"/>
      <c r="U486" s="77">
        <v>0</v>
      </c>
      <c r="V486" s="77"/>
      <c r="W486" s="77">
        <v>0</v>
      </c>
      <c r="X486" s="77"/>
      <c r="Y486" s="77">
        <v>20</v>
      </c>
      <c r="Z486" s="77"/>
      <c r="AA486" s="77">
        <v>0</v>
      </c>
      <c r="AB486" s="77"/>
      <c r="AC486" s="77">
        <v>0</v>
      </c>
      <c r="AD486" s="77"/>
      <c r="AE486" s="77">
        <v>0</v>
      </c>
      <c r="AF486" s="77"/>
      <c r="AG486" s="77">
        <v>0</v>
      </c>
      <c r="AH486" s="77"/>
      <c r="AI486" s="77">
        <f t="shared" si="21"/>
        <v>25896.639999999999</v>
      </c>
      <c r="AJ486" s="24"/>
      <c r="AK486" s="15" t="str">
        <f>'Gen Rev'!A486</f>
        <v>Norwich</v>
      </c>
      <c r="AL486" s="15" t="str">
        <f t="shared" si="22"/>
        <v>Norwich</v>
      </c>
      <c r="AM486" s="15" t="b">
        <f t="shared" si="23"/>
        <v>1</v>
      </c>
    </row>
    <row r="487" spans="1:42" ht="12" customHeight="1" x14ac:dyDescent="0.2">
      <c r="A487" s="15" t="s">
        <v>494</v>
      </c>
      <c r="C487" s="15" t="s">
        <v>207</v>
      </c>
      <c r="E487" s="77">
        <v>234464</v>
      </c>
      <c r="F487" s="77"/>
      <c r="G487" s="77">
        <v>639168</v>
      </c>
      <c r="H487" s="77"/>
      <c r="I487" s="77">
        <v>332133</v>
      </c>
      <c r="J487" s="77"/>
      <c r="K487" s="77">
        <v>4508</v>
      </c>
      <c r="L487" s="77"/>
      <c r="M487" s="77">
        <v>104414</v>
      </c>
      <c r="N487" s="77"/>
      <c r="O487" s="77">
        <v>7936</v>
      </c>
      <c r="P487" s="77"/>
      <c r="Q487" s="77">
        <v>75913</v>
      </c>
      <c r="R487" s="77"/>
      <c r="S487" s="77">
        <v>107779</v>
      </c>
      <c r="T487" s="77"/>
      <c r="U487" s="77">
        <v>0</v>
      </c>
      <c r="V487" s="77"/>
      <c r="W487" s="77">
        <v>0</v>
      </c>
      <c r="X487" s="77"/>
      <c r="Y487" s="77">
        <v>8023</v>
      </c>
      <c r="Z487" s="77"/>
      <c r="AA487" s="77">
        <v>62000</v>
      </c>
      <c r="AB487" s="77"/>
      <c r="AC487" s="77">
        <v>0</v>
      </c>
      <c r="AD487" s="77"/>
      <c r="AE487" s="77">
        <v>0</v>
      </c>
      <c r="AF487" s="77"/>
      <c r="AG487" s="77">
        <v>0</v>
      </c>
      <c r="AH487" s="77"/>
      <c r="AI487" s="77">
        <f t="shared" si="21"/>
        <v>1576338</v>
      </c>
      <c r="AJ487" s="24"/>
      <c r="AK487" s="15" t="str">
        <f>'Gen Rev'!A487</f>
        <v>Oak Harbor</v>
      </c>
      <c r="AL487" s="15" t="str">
        <f t="shared" si="22"/>
        <v>Oak Harbor</v>
      </c>
      <c r="AM487" s="15" t="b">
        <f t="shared" si="23"/>
        <v>1</v>
      </c>
    </row>
    <row r="488" spans="1:42" s="31" customFormat="1" ht="12" customHeight="1" x14ac:dyDescent="0.2">
      <c r="A488" s="1" t="s">
        <v>114</v>
      </c>
      <c r="B488" s="1"/>
      <c r="C488" s="1" t="s">
        <v>663</v>
      </c>
      <c r="D488" s="15"/>
      <c r="E488" s="77">
        <v>292747.46999999997</v>
      </c>
      <c r="F488" s="77"/>
      <c r="G488" s="77">
        <v>0</v>
      </c>
      <c r="H488" s="77"/>
      <c r="I488" s="77">
        <v>248250.67</v>
      </c>
      <c r="J488" s="77"/>
      <c r="K488" s="77">
        <v>0</v>
      </c>
      <c r="L488" s="77"/>
      <c r="M488" s="77">
        <v>29085.41</v>
      </c>
      <c r="N488" s="77"/>
      <c r="O488" s="77">
        <v>32187.88</v>
      </c>
      <c r="P488" s="77"/>
      <c r="Q488" s="77">
        <v>3101.46</v>
      </c>
      <c r="R488" s="77"/>
      <c r="S488" s="77">
        <v>226543.27</v>
      </c>
      <c r="T488" s="77"/>
      <c r="U488" s="77">
        <v>0</v>
      </c>
      <c r="V488" s="77"/>
      <c r="W488" s="77">
        <v>0</v>
      </c>
      <c r="X488" s="77"/>
      <c r="Y488" s="77">
        <v>0</v>
      </c>
      <c r="Z488" s="77"/>
      <c r="AA488" s="77">
        <v>0</v>
      </c>
      <c r="AB488" s="77"/>
      <c r="AC488" s="77">
        <v>162830.10999999999</v>
      </c>
      <c r="AD488" s="77"/>
      <c r="AE488" s="77">
        <v>26105.4</v>
      </c>
      <c r="AF488" s="77"/>
      <c r="AG488" s="77">
        <v>13899</v>
      </c>
      <c r="AH488" s="77"/>
      <c r="AI488" s="77">
        <f t="shared" si="21"/>
        <v>1034750.67</v>
      </c>
      <c r="AJ488" s="24"/>
      <c r="AK488" s="15" t="str">
        <f>'Gen Rev'!A488</f>
        <v>Oak Hill</v>
      </c>
      <c r="AL488" s="15" t="str">
        <f t="shared" si="22"/>
        <v>Oak Hill</v>
      </c>
      <c r="AM488" s="15" t="b">
        <f t="shared" si="23"/>
        <v>1</v>
      </c>
      <c r="AN488" s="15"/>
      <c r="AO488" s="15"/>
      <c r="AP488" s="15"/>
    </row>
    <row r="489" spans="1:42" s="31" customFormat="1" ht="12" customHeight="1" x14ac:dyDescent="0.2">
      <c r="A489" s="24" t="s">
        <v>325</v>
      </c>
      <c r="B489" s="24"/>
      <c r="C489" s="24" t="s">
        <v>316</v>
      </c>
      <c r="D489" s="24"/>
      <c r="E489" s="77">
        <v>400466</v>
      </c>
      <c r="F489" s="77"/>
      <c r="G489" s="77">
        <v>5499518</v>
      </c>
      <c r="H489" s="77"/>
      <c r="I489" s="77">
        <v>1028981</v>
      </c>
      <c r="J489" s="77"/>
      <c r="K489" s="77">
        <v>181202</v>
      </c>
      <c r="L489" s="77"/>
      <c r="M489" s="77">
        <v>295533</v>
      </c>
      <c r="N489" s="77"/>
      <c r="O489" s="77">
        <v>501703</v>
      </c>
      <c r="P489" s="77"/>
      <c r="Q489" s="77">
        <v>0</v>
      </c>
      <c r="R489" s="77"/>
      <c r="S489" s="77">
        <f>369961+45828</f>
        <v>415789</v>
      </c>
      <c r="T489" s="77"/>
      <c r="U489" s="77">
        <v>3895000</v>
      </c>
      <c r="V489" s="77"/>
      <c r="W489" s="77">
        <v>5280000</v>
      </c>
      <c r="X489" s="77"/>
      <c r="Y489" s="77">
        <v>0</v>
      </c>
      <c r="Z489" s="77"/>
      <c r="AA489" s="77">
        <v>1359766</v>
      </c>
      <c r="AB489" s="77"/>
      <c r="AC489" s="77">
        <v>0</v>
      </c>
      <c r="AD489" s="77"/>
      <c r="AE489" s="77">
        <v>0</v>
      </c>
      <c r="AF489" s="77"/>
      <c r="AG489" s="77">
        <v>0</v>
      </c>
      <c r="AH489" s="77"/>
      <c r="AI489" s="77">
        <f t="shared" si="21"/>
        <v>18857958</v>
      </c>
      <c r="AJ489" s="24"/>
      <c r="AK489" s="15" t="str">
        <f>'Gen Rev'!A489</f>
        <v>Oakwood</v>
      </c>
      <c r="AL489" s="15" t="str">
        <f t="shared" si="22"/>
        <v>Oakwood</v>
      </c>
      <c r="AM489" s="15" t="b">
        <f t="shared" si="23"/>
        <v>1</v>
      </c>
      <c r="AN489" s="69"/>
      <c r="AO489" s="69"/>
      <c r="AP489" s="69"/>
    </row>
    <row r="490" spans="1:42" ht="12" customHeight="1" x14ac:dyDescent="0.2">
      <c r="A490" s="15" t="s">
        <v>325</v>
      </c>
      <c r="C490" s="15" t="s">
        <v>496</v>
      </c>
      <c r="E490" s="77">
        <v>60190</v>
      </c>
      <c r="F490" s="77"/>
      <c r="G490" s="77">
        <v>82319</v>
      </c>
      <c r="H490" s="77"/>
      <c r="I490" s="77">
        <v>136311</v>
      </c>
      <c r="J490" s="77"/>
      <c r="K490" s="77">
        <v>0</v>
      </c>
      <c r="L490" s="77"/>
      <c r="M490" s="77">
        <v>125830</v>
      </c>
      <c r="N490" s="77"/>
      <c r="O490" s="77">
        <v>1942</v>
      </c>
      <c r="P490" s="77"/>
      <c r="Q490" s="77">
        <v>1233</v>
      </c>
      <c r="R490" s="77"/>
      <c r="S490" s="77">
        <v>29312</v>
      </c>
      <c r="T490" s="77"/>
      <c r="U490" s="77">
        <v>0</v>
      </c>
      <c r="V490" s="77"/>
      <c r="W490" s="77">
        <v>20426</v>
      </c>
      <c r="X490" s="77"/>
      <c r="Y490" s="77">
        <v>0</v>
      </c>
      <c r="Z490" s="77"/>
      <c r="AA490" s="77">
        <v>35000</v>
      </c>
      <c r="AB490" s="77"/>
      <c r="AC490" s="77">
        <v>0</v>
      </c>
      <c r="AD490" s="77"/>
      <c r="AE490" s="77">
        <v>49188</v>
      </c>
      <c r="AF490" s="77"/>
      <c r="AG490" s="77">
        <v>0</v>
      </c>
      <c r="AH490" s="77"/>
      <c r="AI490" s="77">
        <f t="shared" si="21"/>
        <v>541751</v>
      </c>
      <c r="AJ490" s="24"/>
      <c r="AK490" s="15" t="str">
        <f>'Gen Rev'!A490</f>
        <v>Oakwood</v>
      </c>
      <c r="AL490" s="15" t="str">
        <f t="shared" si="22"/>
        <v>Oakwood</v>
      </c>
      <c r="AM490" s="15" t="b">
        <f t="shared" si="23"/>
        <v>1</v>
      </c>
    </row>
    <row r="491" spans="1:42" ht="12" customHeight="1" x14ac:dyDescent="0.2">
      <c r="A491" s="37" t="s">
        <v>75</v>
      </c>
      <c r="B491" s="37"/>
      <c r="C491" s="37" t="s">
        <v>353</v>
      </c>
      <c r="E491" s="77">
        <v>244190.16</v>
      </c>
      <c r="F491" s="77"/>
      <c r="G491" s="77">
        <v>4606513.2699999996</v>
      </c>
      <c r="H491" s="77"/>
      <c r="I491" s="77">
        <v>7787475.0999999996</v>
      </c>
      <c r="J491" s="77"/>
      <c r="K491" s="77">
        <v>30002.48</v>
      </c>
      <c r="L491" s="77"/>
      <c r="M491" s="77">
        <v>313396.28999999998</v>
      </c>
      <c r="N491" s="77"/>
      <c r="O491" s="77">
        <v>165837.15</v>
      </c>
      <c r="P491" s="77"/>
      <c r="Q491" s="77">
        <v>26752.67</v>
      </c>
      <c r="R491" s="77"/>
      <c r="S491" s="77">
        <v>680226.81</v>
      </c>
      <c r="T491" s="77"/>
      <c r="U491" s="77">
        <v>6240000</v>
      </c>
      <c r="V491" s="77"/>
      <c r="W491" s="77">
        <v>2500000</v>
      </c>
      <c r="X491" s="77"/>
      <c r="Y491" s="77">
        <v>7600</v>
      </c>
      <c r="Z491" s="77"/>
      <c r="AA491" s="77">
        <v>0</v>
      </c>
      <c r="AB491" s="77"/>
      <c r="AC491" s="77">
        <v>0</v>
      </c>
      <c r="AD491" s="77"/>
      <c r="AE491" s="77">
        <v>93473.35</v>
      </c>
      <c r="AF491" s="77"/>
      <c r="AG491" s="77">
        <v>0</v>
      </c>
      <c r="AH491" s="77"/>
      <c r="AI491" s="77">
        <f t="shared" si="21"/>
        <v>22695467.280000001</v>
      </c>
      <c r="AJ491" s="24"/>
      <c r="AK491" s="15" t="str">
        <f>'Gen Rev'!A491</f>
        <v>Obetz</v>
      </c>
      <c r="AL491" s="15" t="str">
        <f t="shared" si="22"/>
        <v>Obetz</v>
      </c>
      <c r="AM491" s="15" t="b">
        <f t="shared" si="23"/>
        <v>1</v>
      </c>
      <c r="AN491" s="30"/>
      <c r="AO491" s="30"/>
      <c r="AP491" s="30"/>
    </row>
    <row r="492" spans="1:42" ht="12" customHeight="1" x14ac:dyDescent="0.2">
      <c r="A492" s="1" t="s">
        <v>71</v>
      </c>
      <c r="B492" s="1"/>
      <c r="C492" s="1" t="s">
        <v>757</v>
      </c>
      <c r="E492" s="77">
        <v>35146.019999999997</v>
      </c>
      <c r="F492" s="77"/>
      <c r="G492" s="77">
        <v>39294.129999999997</v>
      </c>
      <c r="H492" s="77"/>
      <c r="I492" s="77">
        <v>5734.7</v>
      </c>
      <c r="J492" s="77"/>
      <c r="K492" s="77">
        <v>0</v>
      </c>
      <c r="L492" s="77"/>
      <c r="M492" s="77">
        <v>0</v>
      </c>
      <c r="N492" s="77"/>
      <c r="O492" s="77">
        <v>297</v>
      </c>
      <c r="P492" s="77"/>
      <c r="Q492" s="77">
        <v>35.549999999999997</v>
      </c>
      <c r="R492" s="77"/>
      <c r="S492" s="77">
        <v>1074.5</v>
      </c>
      <c r="T492" s="77"/>
      <c r="U492" s="77">
        <v>0</v>
      </c>
      <c r="V492" s="77"/>
      <c r="W492" s="77">
        <v>0</v>
      </c>
      <c r="X492" s="77"/>
      <c r="Y492" s="77">
        <v>0</v>
      </c>
      <c r="Z492" s="77"/>
      <c r="AA492" s="77">
        <v>5500</v>
      </c>
      <c r="AB492" s="77"/>
      <c r="AC492" s="77">
        <v>9175</v>
      </c>
      <c r="AD492" s="77"/>
      <c r="AE492" s="77">
        <v>4085.99</v>
      </c>
      <c r="AF492" s="77"/>
      <c r="AG492" s="77">
        <v>0</v>
      </c>
      <c r="AH492" s="77"/>
      <c r="AI492" s="77">
        <f t="shared" si="21"/>
        <v>100342.89</v>
      </c>
      <c r="AJ492" s="24"/>
      <c r="AK492" s="15" t="str">
        <f>'Gen Rev'!A492</f>
        <v>Octa</v>
      </c>
      <c r="AL492" s="15" t="str">
        <f t="shared" si="22"/>
        <v>Octa</v>
      </c>
      <c r="AM492" s="15" t="b">
        <f t="shared" si="23"/>
        <v>1</v>
      </c>
      <c r="AN492" s="31"/>
      <c r="AO492" s="31"/>
      <c r="AP492" s="31"/>
    </row>
    <row r="493" spans="1:42" ht="12" customHeight="1" x14ac:dyDescent="0.2">
      <c r="A493" s="15" t="s">
        <v>573</v>
      </c>
      <c r="C493" s="15" t="s">
        <v>572</v>
      </c>
      <c r="E493" s="77">
        <v>76185</v>
      </c>
      <c r="F493" s="77"/>
      <c r="G493" s="77">
        <v>62094</v>
      </c>
      <c r="H493" s="77"/>
      <c r="I493" s="77">
        <v>212618</v>
      </c>
      <c r="J493" s="77"/>
      <c r="K493" s="77">
        <v>0</v>
      </c>
      <c r="L493" s="77"/>
      <c r="M493" s="77">
        <v>71184</v>
      </c>
      <c r="N493" s="77"/>
      <c r="O493" s="77">
        <v>6157</v>
      </c>
      <c r="P493" s="77"/>
      <c r="Q493" s="77">
        <v>184</v>
      </c>
      <c r="R493" s="77"/>
      <c r="S493" s="77">
        <v>57568</v>
      </c>
      <c r="T493" s="77"/>
      <c r="U493" s="77">
        <v>0</v>
      </c>
      <c r="V493" s="77"/>
      <c r="W493" s="77">
        <v>0</v>
      </c>
      <c r="X493" s="77"/>
      <c r="Y493" s="77">
        <v>0</v>
      </c>
      <c r="Z493" s="77"/>
      <c r="AA493" s="77">
        <v>12881</v>
      </c>
      <c r="AB493" s="77"/>
      <c r="AC493" s="77">
        <v>0</v>
      </c>
      <c r="AD493" s="77"/>
      <c r="AE493" s="77">
        <v>0</v>
      </c>
      <c r="AF493" s="77"/>
      <c r="AG493" s="77">
        <v>0</v>
      </c>
      <c r="AH493" s="77"/>
      <c r="AI493" s="77">
        <f t="shared" si="21"/>
        <v>498871</v>
      </c>
      <c r="AJ493" s="24"/>
      <c r="AK493" s="15" t="str">
        <f>'Gen Rev'!A493</f>
        <v xml:space="preserve">Ohio City </v>
      </c>
      <c r="AL493" s="15" t="str">
        <f t="shared" si="22"/>
        <v xml:space="preserve">Ohio City </v>
      </c>
      <c r="AM493" s="15" t="b">
        <f t="shared" si="23"/>
        <v>1</v>
      </c>
    </row>
    <row r="494" spans="1:42" ht="12" customHeight="1" x14ac:dyDescent="0.2">
      <c r="A494" s="1" t="s">
        <v>951</v>
      </c>
      <c r="B494" s="1"/>
      <c r="C494" s="1" t="s">
        <v>375</v>
      </c>
      <c r="E494" s="77">
        <v>17562.97</v>
      </c>
      <c r="F494" s="77"/>
      <c r="G494" s="77">
        <v>0</v>
      </c>
      <c r="H494" s="77"/>
      <c r="I494" s="77">
        <v>33496.160000000003</v>
      </c>
      <c r="J494" s="77"/>
      <c r="K494" s="77">
        <v>0</v>
      </c>
      <c r="L494" s="77"/>
      <c r="M494" s="77">
        <v>10150</v>
      </c>
      <c r="N494" s="77"/>
      <c r="O494" s="77">
        <v>0</v>
      </c>
      <c r="P494" s="77"/>
      <c r="Q494" s="77">
        <v>714.53</v>
      </c>
      <c r="R494" s="77"/>
      <c r="S494" s="77">
        <v>11046.4</v>
      </c>
      <c r="T494" s="77"/>
      <c r="U494" s="77">
        <v>0</v>
      </c>
      <c r="V494" s="77"/>
      <c r="W494" s="77">
        <v>0</v>
      </c>
      <c r="X494" s="77"/>
      <c r="Y494" s="77">
        <v>0</v>
      </c>
      <c r="Z494" s="77"/>
      <c r="AA494" s="77">
        <v>0</v>
      </c>
      <c r="AB494" s="77"/>
      <c r="AC494" s="77">
        <v>0</v>
      </c>
      <c r="AD494" s="77"/>
      <c r="AE494" s="77">
        <v>0</v>
      </c>
      <c r="AF494" s="77"/>
      <c r="AG494" s="77">
        <v>0</v>
      </c>
      <c r="AH494" s="77"/>
      <c r="AI494" s="77">
        <f t="shared" si="21"/>
        <v>72970.06</v>
      </c>
      <c r="AJ494" s="24"/>
      <c r="AK494" s="15" t="str">
        <f>'Gen Rev'!A494</f>
        <v>Old Washington</v>
      </c>
      <c r="AL494" s="15" t="str">
        <f t="shared" si="22"/>
        <v>Old Washington</v>
      </c>
      <c r="AM494" s="15" t="b">
        <f t="shared" si="23"/>
        <v>1</v>
      </c>
      <c r="AN494" s="31"/>
      <c r="AO494" s="31"/>
      <c r="AP494" s="31"/>
    </row>
    <row r="495" spans="1:42" ht="12" customHeight="1" x14ac:dyDescent="0.2">
      <c r="A495" s="15" t="s">
        <v>905</v>
      </c>
      <c r="C495" s="15" t="s">
        <v>316</v>
      </c>
      <c r="E495" s="77">
        <v>1586169</v>
      </c>
      <c r="F495" s="77"/>
      <c r="G495" s="77">
        <v>3131969</v>
      </c>
      <c r="H495" s="77"/>
      <c r="I495" s="77">
        <v>1167361</v>
      </c>
      <c r="J495" s="77"/>
      <c r="K495" s="77">
        <v>614552</v>
      </c>
      <c r="L495" s="77"/>
      <c r="M495" s="77">
        <v>231828</v>
      </c>
      <c r="N495" s="77"/>
      <c r="O495" s="77">
        <v>198494</v>
      </c>
      <c r="P495" s="77"/>
      <c r="Q495" s="77">
        <v>48735</v>
      </c>
      <c r="R495" s="77"/>
      <c r="S495" s="77">
        <v>183207</v>
      </c>
      <c r="T495" s="77"/>
      <c r="U495" s="77">
        <v>0</v>
      </c>
      <c r="V495" s="77"/>
      <c r="W495" s="77">
        <v>0</v>
      </c>
      <c r="X495" s="77"/>
      <c r="Y495" s="77">
        <v>0</v>
      </c>
      <c r="Z495" s="77"/>
      <c r="AA495" s="77">
        <v>1128886</v>
      </c>
      <c r="AB495" s="77"/>
      <c r="AC495" s="77">
        <v>0</v>
      </c>
      <c r="AD495" s="77"/>
      <c r="AE495" s="77">
        <v>0</v>
      </c>
      <c r="AF495" s="77"/>
      <c r="AG495" s="77">
        <v>0</v>
      </c>
      <c r="AH495" s="77"/>
      <c r="AI495" s="77">
        <f t="shared" si="21"/>
        <v>8291201</v>
      </c>
      <c r="AJ495" s="24"/>
      <c r="AK495" s="15" t="str">
        <f>'Gen Rev'!A495</f>
        <v xml:space="preserve">Orange </v>
      </c>
      <c r="AL495" s="15" t="str">
        <f t="shared" si="22"/>
        <v xml:space="preserve">Orange </v>
      </c>
      <c r="AM495" s="15" t="b">
        <f t="shared" si="23"/>
        <v>1</v>
      </c>
    </row>
    <row r="496" spans="1:42" s="31" customFormat="1" ht="12" customHeight="1" x14ac:dyDescent="0.2">
      <c r="A496" s="1" t="s">
        <v>229</v>
      </c>
      <c r="B496" s="1"/>
      <c r="C496" s="1" t="s">
        <v>805</v>
      </c>
      <c r="D496" s="15"/>
      <c r="E496" s="77">
        <v>27114.44</v>
      </c>
      <c r="F496" s="77"/>
      <c r="G496" s="77">
        <v>0</v>
      </c>
      <c r="H496" s="77"/>
      <c r="I496" s="77">
        <v>30064.66</v>
      </c>
      <c r="J496" s="77"/>
      <c r="K496" s="77">
        <v>4764.09</v>
      </c>
      <c r="L496" s="77"/>
      <c r="M496" s="77">
        <v>0</v>
      </c>
      <c r="N496" s="77"/>
      <c r="O496" s="77">
        <v>167</v>
      </c>
      <c r="P496" s="77"/>
      <c r="Q496" s="77">
        <v>31.24</v>
      </c>
      <c r="R496" s="77"/>
      <c r="S496" s="77">
        <v>7637.99</v>
      </c>
      <c r="T496" s="77"/>
      <c r="U496" s="77">
        <v>0</v>
      </c>
      <c r="V496" s="77"/>
      <c r="W496" s="77">
        <v>0</v>
      </c>
      <c r="X496" s="77"/>
      <c r="Y496" s="77">
        <v>0</v>
      </c>
      <c r="Z496" s="77"/>
      <c r="AA496" s="77">
        <v>0</v>
      </c>
      <c r="AB496" s="77"/>
      <c r="AC496" s="77">
        <v>0</v>
      </c>
      <c r="AD496" s="77"/>
      <c r="AE496" s="77">
        <v>0</v>
      </c>
      <c r="AF496" s="77"/>
      <c r="AG496" s="77">
        <v>0</v>
      </c>
      <c r="AH496" s="77"/>
      <c r="AI496" s="77">
        <f t="shared" si="21"/>
        <v>69779.42</v>
      </c>
      <c r="AJ496" s="24"/>
      <c r="AK496" s="15" t="str">
        <f>'Gen Rev'!A496</f>
        <v>Orangeville</v>
      </c>
      <c r="AL496" s="15" t="str">
        <f t="shared" si="22"/>
        <v>Orangeville</v>
      </c>
      <c r="AM496" s="15" t="b">
        <f t="shared" si="23"/>
        <v>1</v>
      </c>
    </row>
    <row r="497" spans="1:42" ht="12" customHeight="1" x14ac:dyDescent="0.2">
      <c r="A497" s="1" t="s">
        <v>190</v>
      </c>
      <c r="B497" s="1"/>
      <c r="C497" s="1" t="s">
        <v>793</v>
      </c>
      <c r="E497" s="77">
        <v>4405.75</v>
      </c>
      <c r="F497" s="77"/>
      <c r="G497" s="77">
        <v>0</v>
      </c>
      <c r="H497" s="77"/>
      <c r="I497" s="77">
        <v>33720.82</v>
      </c>
      <c r="J497" s="77"/>
      <c r="K497" s="77">
        <v>0</v>
      </c>
      <c r="L497" s="77"/>
      <c r="M497" s="77">
        <v>0</v>
      </c>
      <c r="N497" s="77"/>
      <c r="O497" s="77">
        <v>2820.57</v>
      </c>
      <c r="P497" s="77"/>
      <c r="Q497" s="77">
        <v>28.81</v>
      </c>
      <c r="R497" s="77"/>
      <c r="S497" s="77">
        <v>103.82</v>
      </c>
      <c r="T497" s="77"/>
      <c r="U497" s="77">
        <v>0</v>
      </c>
      <c r="V497" s="77"/>
      <c r="W497" s="77">
        <v>0</v>
      </c>
      <c r="X497" s="77"/>
      <c r="Y497" s="77">
        <v>0</v>
      </c>
      <c r="Z497" s="77"/>
      <c r="AA497" s="77">
        <v>0</v>
      </c>
      <c r="AB497" s="77"/>
      <c r="AC497" s="77">
        <v>3348.78</v>
      </c>
      <c r="AD497" s="77"/>
      <c r="AE497" s="77">
        <v>0</v>
      </c>
      <c r="AF497" s="77"/>
      <c r="AG497" s="77">
        <v>0</v>
      </c>
      <c r="AH497" s="77"/>
      <c r="AI497" s="77">
        <f t="shared" si="21"/>
        <v>44428.549999999996</v>
      </c>
      <c r="AJ497" s="24"/>
      <c r="AK497" s="15" t="str">
        <f>'Gen Rev'!A497</f>
        <v>Orient</v>
      </c>
      <c r="AL497" s="15" t="str">
        <f t="shared" si="22"/>
        <v>Orient</v>
      </c>
      <c r="AM497" s="15" t="b">
        <f t="shared" si="23"/>
        <v>1</v>
      </c>
      <c r="AN497" s="31"/>
      <c r="AO497" s="31"/>
      <c r="AP497" s="31"/>
    </row>
    <row r="498" spans="1:42" ht="12" customHeight="1" x14ac:dyDescent="0.2">
      <c r="A498" s="15" t="s">
        <v>675</v>
      </c>
      <c r="C498" s="15" t="s">
        <v>671</v>
      </c>
      <c r="E498" s="77">
        <v>1717468</v>
      </c>
      <c r="F498" s="77"/>
      <c r="G498" s="77">
        <v>0</v>
      </c>
      <c r="H498" s="77"/>
      <c r="I498" s="77">
        <f>182697+49898</f>
        <v>232595</v>
      </c>
      <c r="J498" s="77"/>
      <c r="K498" s="77">
        <v>0</v>
      </c>
      <c r="L498" s="77"/>
      <c r="M498" s="77">
        <v>103739</v>
      </c>
      <c r="N498" s="77"/>
      <c r="O498" s="77">
        <v>5215</v>
      </c>
      <c r="P498" s="77"/>
      <c r="Q498" s="77">
        <v>2</v>
      </c>
      <c r="R498" s="77"/>
      <c r="S498" s="77">
        <v>-33085</v>
      </c>
      <c r="T498" s="77"/>
      <c r="U498" s="77">
        <v>0</v>
      </c>
      <c r="V498" s="77"/>
      <c r="W498" s="77">
        <v>0</v>
      </c>
      <c r="X498" s="77"/>
      <c r="Y498" s="77">
        <v>0</v>
      </c>
      <c r="Z498" s="77"/>
      <c r="AA498" s="77">
        <v>49970</v>
      </c>
      <c r="AB498" s="77"/>
      <c r="AC498" s="77">
        <v>0</v>
      </c>
      <c r="AD498" s="77"/>
      <c r="AE498" s="77">
        <v>0</v>
      </c>
      <c r="AF498" s="77"/>
      <c r="AG498" s="77">
        <v>0</v>
      </c>
      <c r="AH498" s="77"/>
      <c r="AI498" s="77">
        <f t="shared" si="21"/>
        <v>2075904</v>
      </c>
      <c r="AJ498" s="24"/>
      <c r="AK498" s="15" t="str">
        <f>'Gen Rev'!A498</f>
        <v>Orwell</v>
      </c>
      <c r="AL498" s="15" t="str">
        <f t="shared" si="22"/>
        <v>Orwell</v>
      </c>
      <c r="AM498" s="15" t="b">
        <f t="shared" si="23"/>
        <v>1</v>
      </c>
    </row>
    <row r="499" spans="1:42" ht="12" customHeight="1" x14ac:dyDescent="0.2">
      <c r="A499" s="15" t="s">
        <v>335</v>
      </c>
      <c r="C499" s="15" t="s">
        <v>329</v>
      </c>
      <c r="E499" s="77">
        <v>8087</v>
      </c>
      <c r="F499" s="77"/>
      <c r="G499" s="77">
        <v>67049</v>
      </c>
      <c r="H499" s="77"/>
      <c r="I499" s="77">
        <f>23455+22693+94993</f>
        <v>141141</v>
      </c>
      <c r="J499" s="77"/>
      <c r="K499" s="77">
        <v>31221</v>
      </c>
      <c r="L499" s="77"/>
      <c r="M499" s="77">
        <v>0</v>
      </c>
      <c r="N499" s="77"/>
      <c r="O499" s="77">
        <v>1456</v>
      </c>
      <c r="P499" s="77"/>
      <c r="Q499" s="77">
        <v>630</v>
      </c>
      <c r="R499" s="77"/>
      <c r="S499" s="77">
        <v>23138</v>
      </c>
      <c r="T499" s="77"/>
      <c r="U499" s="77">
        <v>0</v>
      </c>
      <c r="V499" s="77"/>
      <c r="W499" s="77">
        <v>0</v>
      </c>
      <c r="X499" s="77"/>
      <c r="Y499" s="77">
        <v>0</v>
      </c>
      <c r="Z499" s="77"/>
      <c r="AA499" s="77">
        <f>1666+54249+101532</f>
        <v>157447</v>
      </c>
      <c r="AB499" s="77"/>
      <c r="AC499" s="77">
        <v>0</v>
      </c>
      <c r="AD499" s="77"/>
      <c r="AE499" s="77">
        <v>0</v>
      </c>
      <c r="AF499" s="77"/>
      <c r="AG499" s="77">
        <v>0</v>
      </c>
      <c r="AH499" s="77"/>
      <c r="AI499" s="77">
        <f t="shared" si="21"/>
        <v>430169</v>
      </c>
      <c r="AJ499" s="24"/>
      <c r="AK499" s="15" t="str">
        <f>'Gen Rev'!A499</f>
        <v>Osgood</v>
      </c>
      <c r="AL499" s="15" t="str">
        <f t="shared" si="22"/>
        <v>Osgood</v>
      </c>
      <c r="AM499" s="15" t="b">
        <f t="shared" si="23"/>
        <v>1</v>
      </c>
      <c r="AN499" s="30"/>
      <c r="AO499" s="30"/>
      <c r="AP499" s="30"/>
    </row>
    <row r="500" spans="1:42" ht="12" customHeight="1" x14ac:dyDescent="0.2">
      <c r="A500" s="15" t="s">
        <v>344</v>
      </c>
      <c r="C500" s="15" t="s">
        <v>343</v>
      </c>
      <c r="E500" s="77">
        <v>18633</v>
      </c>
      <c r="F500" s="77"/>
      <c r="G500" s="77">
        <v>0</v>
      </c>
      <c r="H500" s="77"/>
      <c r="I500" s="77">
        <v>164419</v>
      </c>
      <c r="J500" s="77"/>
      <c r="K500" s="77">
        <v>0</v>
      </c>
      <c r="L500" s="77"/>
      <c r="M500" s="77">
        <v>0</v>
      </c>
      <c r="N500" s="77"/>
      <c r="O500" s="77">
        <v>5049</v>
      </c>
      <c r="P500" s="77"/>
      <c r="Q500" s="77">
        <v>951</v>
      </c>
      <c r="R500" s="77"/>
      <c r="S500" s="77">
        <v>0</v>
      </c>
      <c r="T500" s="77"/>
      <c r="U500" s="77">
        <v>0</v>
      </c>
      <c r="V500" s="77"/>
      <c r="W500" s="77">
        <v>0</v>
      </c>
      <c r="X500" s="77"/>
      <c r="Y500" s="77">
        <v>0</v>
      </c>
      <c r="Z500" s="77"/>
      <c r="AA500" s="77">
        <v>0</v>
      </c>
      <c r="AB500" s="77"/>
      <c r="AC500" s="77">
        <v>0</v>
      </c>
      <c r="AD500" s="77"/>
      <c r="AE500" s="77">
        <v>0</v>
      </c>
      <c r="AF500" s="77"/>
      <c r="AG500" s="77">
        <v>0</v>
      </c>
      <c r="AH500" s="77"/>
      <c r="AI500" s="77">
        <f t="shared" si="21"/>
        <v>189052</v>
      </c>
      <c r="AJ500" s="24"/>
      <c r="AK500" s="15" t="str">
        <f>'Gen Rev'!A500</f>
        <v>Ostrander</v>
      </c>
      <c r="AL500" s="15" t="str">
        <f t="shared" si="22"/>
        <v>Ostrander</v>
      </c>
      <c r="AM500" s="15" t="b">
        <f t="shared" si="23"/>
        <v>1</v>
      </c>
      <c r="AN500" s="32"/>
      <c r="AO500" s="32"/>
      <c r="AP500" s="32"/>
    </row>
    <row r="501" spans="1:42" ht="12" customHeight="1" x14ac:dyDescent="0.2">
      <c r="A501" s="1" t="s">
        <v>207</v>
      </c>
      <c r="B501" s="1"/>
      <c r="C501" s="1" t="s">
        <v>797</v>
      </c>
      <c r="E501" s="77">
        <v>331747.76</v>
      </c>
      <c r="F501" s="77"/>
      <c r="G501" s="77">
        <v>1451480.54</v>
      </c>
      <c r="H501" s="77"/>
      <c r="I501" s="77">
        <v>1358320.63</v>
      </c>
      <c r="J501" s="77"/>
      <c r="K501" s="77">
        <v>1726.61</v>
      </c>
      <c r="L501" s="77"/>
      <c r="M501" s="77">
        <v>152475.84</v>
      </c>
      <c r="N501" s="77"/>
      <c r="O501" s="77">
        <v>43458.62</v>
      </c>
      <c r="P501" s="77"/>
      <c r="Q501" s="77">
        <v>29087.19</v>
      </c>
      <c r="R501" s="77"/>
      <c r="S501" s="77">
        <v>115798.62</v>
      </c>
      <c r="T501" s="77"/>
      <c r="U501" s="77">
        <v>0</v>
      </c>
      <c r="V501" s="77"/>
      <c r="W501" s="77">
        <v>1102128.76</v>
      </c>
      <c r="X501" s="77"/>
      <c r="Y501" s="77">
        <v>7930.75</v>
      </c>
      <c r="Z501" s="77"/>
      <c r="AA501" s="77">
        <v>0</v>
      </c>
      <c r="AB501" s="77"/>
      <c r="AC501" s="77">
        <v>612625.19999999995</v>
      </c>
      <c r="AD501" s="77"/>
      <c r="AE501" s="77">
        <v>0</v>
      </c>
      <c r="AF501" s="77"/>
      <c r="AG501" s="77">
        <v>0</v>
      </c>
      <c r="AH501" s="77"/>
      <c r="AI501" s="77">
        <f t="shared" si="21"/>
        <v>5206780.5199999996</v>
      </c>
      <c r="AJ501" s="24"/>
      <c r="AK501" s="15" t="str">
        <f>'Gen Rev'!A501</f>
        <v>Ottawa</v>
      </c>
      <c r="AL501" s="15" t="str">
        <f t="shared" si="22"/>
        <v>Ottawa</v>
      </c>
      <c r="AM501" s="15" t="b">
        <f t="shared" si="23"/>
        <v>1</v>
      </c>
      <c r="AN501" s="31"/>
      <c r="AO501" s="31"/>
      <c r="AP501" s="31"/>
    </row>
    <row r="502" spans="1:42" ht="12" customHeight="1" x14ac:dyDescent="0.2">
      <c r="A502" s="24" t="s">
        <v>456</v>
      </c>
      <c r="B502" s="24"/>
      <c r="C502" s="24" t="s">
        <v>455</v>
      </c>
      <c r="D502" s="24"/>
      <c r="E502" s="77">
        <v>583086</v>
      </c>
      <c r="F502" s="77"/>
      <c r="G502" s="77">
        <v>3885567</v>
      </c>
      <c r="H502" s="77"/>
      <c r="I502" s="77">
        <v>1253985</v>
      </c>
      <c r="J502" s="77"/>
      <c r="K502" s="77">
        <v>63851</v>
      </c>
      <c r="L502" s="77"/>
      <c r="M502" s="77">
        <v>143052</v>
      </c>
      <c r="N502" s="77"/>
      <c r="O502" s="77">
        <v>69114</v>
      </c>
      <c r="P502" s="77"/>
      <c r="Q502" s="77">
        <v>62791</v>
      </c>
      <c r="R502" s="77"/>
      <c r="S502" s="77">
        <v>238877</v>
      </c>
      <c r="T502" s="77"/>
      <c r="U502" s="77">
        <v>0</v>
      </c>
      <c r="V502" s="77"/>
      <c r="W502" s="77">
        <v>0</v>
      </c>
      <c r="X502" s="77"/>
      <c r="Y502" s="77">
        <v>0</v>
      </c>
      <c r="Z502" s="77"/>
      <c r="AA502" s="77">
        <v>5283356</v>
      </c>
      <c r="AB502" s="77"/>
      <c r="AC502" s="77">
        <v>0</v>
      </c>
      <c r="AD502" s="77"/>
      <c r="AE502" s="77">
        <v>0</v>
      </c>
      <c r="AF502" s="77"/>
      <c r="AG502" s="77">
        <v>0</v>
      </c>
      <c r="AH502" s="77"/>
      <c r="AI502" s="77">
        <f t="shared" si="21"/>
        <v>11583679</v>
      </c>
      <c r="AJ502" s="24"/>
      <c r="AK502" s="15" t="str">
        <f>'Gen Rev'!A502</f>
        <v>Ottawa Hills</v>
      </c>
      <c r="AL502" s="15" t="str">
        <f t="shared" si="22"/>
        <v>Ottawa Hills</v>
      </c>
      <c r="AM502" s="15" t="b">
        <f t="shared" si="23"/>
        <v>1</v>
      </c>
      <c r="AN502" s="24"/>
      <c r="AO502" s="24"/>
      <c r="AP502" s="24"/>
    </row>
    <row r="503" spans="1:42" ht="12" customHeight="1" x14ac:dyDescent="0.2">
      <c r="A503" s="1" t="s">
        <v>516</v>
      </c>
      <c r="B503" s="1"/>
      <c r="C503" s="1" t="s">
        <v>513</v>
      </c>
      <c r="E503" s="77">
        <v>90693.09</v>
      </c>
      <c r="F503" s="77"/>
      <c r="G503" s="77">
        <v>567012.06000000006</v>
      </c>
      <c r="H503" s="77"/>
      <c r="I503" s="77">
        <v>96598.22</v>
      </c>
      <c r="J503" s="77"/>
      <c r="K503" s="77">
        <v>134</v>
      </c>
      <c r="L503" s="77"/>
      <c r="M503" s="77">
        <v>26117.54</v>
      </c>
      <c r="N503" s="77"/>
      <c r="O503" s="77">
        <v>2985</v>
      </c>
      <c r="P503" s="77"/>
      <c r="Q503" s="77">
        <v>1411.52</v>
      </c>
      <c r="R503" s="77"/>
      <c r="S503" s="77">
        <v>25395.07</v>
      </c>
      <c r="T503" s="77"/>
      <c r="U503" s="77">
        <v>0</v>
      </c>
      <c r="V503" s="77"/>
      <c r="W503" s="77">
        <v>0</v>
      </c>
      <c r="X503" s="77"/>
      <c r="Y503" s="77">
        <v>0</v>
      </c>
      <c r="Z503" s="77"/>
      <c r="AA503" s="77">
        <v>121400</v>
      </c>
      <c r="AB503" s="77"/>
      <c r="AC503" s="77">
        <v>0</v>
      </c>
      <c r="AD503" s="77"/>
      <c r="AE503" s="77">
        <v>72594.19</v>
      </c>
      <c r="AF503" s="77"/>
      <c r="AG503" s="77">
        <f>26231.38+29801.32</f>
        <v>56032.7</v>
      </c>
      <c r="AH503" s="77"/>
      <c r="AI503" s="77">
        <f t="shared" si="21"/>
        <v>1060373.3899999999</v>
      </c>
      <c r="AJ503" s="24"/>
      <c r="AK503" s="15" t="str">
        <f>'Gen Rev'!A503</f>
        <v>Ottoville</v>
      </c>
      <c r="AL503" s="15" t="str">
        <f t="shared" si="22"/>
        <v>Ottoville</v>
      </c>
      <c r="AM503" s="15" t="b">
        <f t="shared" si="23"/>
        <v>1</v>
      </c>
      <c r="AN503" s="31"/>
      <c r="AO503" s="31"/>
      <c r="AP503" s="31"/>
    </row>
    <row r="504" spans="1:42" s="31" customFormat="1" ht="12" customHeight="1" x14ac:dyDescent="0.2">
      <c r="A504" s="1" t="s">
        <v>216</v>
      </c>
      <c r="B504" s="1"/>
      <c r="C504" s="1" t="s">
        <v>801</v>
      </c>
      <c r="D504" s="15"/>
      <c r="E504" s="77">
        <v>8403.59</v>
      </c>
      <c r="F504" s="77"/>
      <c r="G504" s="77">
        <v>0</v>
      </c>
      <c r="H504" s="77"/>
      <c r="I504" s="77">
        <v>27842.43</v>
      </c>
      <c r="J504" s="77"/>
      <c r="K504" s="77">
        <v>0</v>
      </c>
      <c r="L504" s="77"/>
      <c r="M504" s="77">
        <v>53259.49</v>
      </c>
      <c r="N504" s="77"/>
      <c r="O504" s="77">
        <v>0</v>
      </c>
      <c r="P504" s="77"/>
      <c r="Q504" s="77">
        <v>589.29999999999995</v>
      </c>
      <c r="R504" s="77"/>
      <c r="S504" s="77">
        <v>241319.65</v>
      </c>
      <c r="T504" s="77"/>
      <c r="U504" s="77">
        <v>0</v>
      </c>
      <c r="V504" s="77"/>
      <c r="W504" s="77">
        <v>0</v>
      </c>
      <c r="X504" s="77"/>
      <c r="Y504" s="77">
        <v>0</v>
      </c>
      <c r="Z504" s="77"/>
      <c r="AA504" s="77">
        <v>0</v>
      </c>
      <c r="AB504" s="77"/>
      <c r="AC504" s="77">
        <v>0</v>
      </c>
      <c r="AD504" s="77"/>
      <c r="AE504" s="77">
        <v>0</v>
      </c>
      <c r="AF504" s="77"/>
      <c r="AG504" s="77">
        <v>0</v>
      </c>
      <c r="AH504" s="77"/>
      <c r="AI504" s="77">
        <f t="shared" si="21"/>
        <v>331414.46000000002</v>
      </c>
      <c r="AJ504" s="24"/>
      <c r="AK504" s="15" t="str">
        <f>'Gen Rev'!A504</f>
        <v>Otway</v>
      </c>
      <c r="AL504" s="15" t="str">
        <f t="shared" si="22"/>
        <v>Otway</v>
      </c>
      <c r="AM504" s="15" t="b">
        <f t="shared" si="23"/>
        <v>1</v>
      </c>
      <c r="AN504" s="15"/>
      <c r="AO504" s="15"/>
      <c r="AP504" s="15"/>
    </row>
    <row r="505" spans="1:42" ht="12" customHeight="1" x14ac:dyDescent="0.2">
      <c r="A505" s="1" t="s">
        <v>39</v>
      </c>
      <c r="B505" s="1"/>
      <c r="C505" s="1" t="s">
        <v>747</v>
      </c>
      <c r="E505" s="77">
        <v>80144</v>
      </c>
      <c r="F505" s="77"/>
      <c r="G505" s="77">
        <v>114921.37</v>
      </c>
      <c r="H505" s="77"/>
      <c r="I505" s="77">
        <v>145888.91</v>
      </c>
      <c r="J505" s="77"/>
      <c r="K505" s="77">
        <v>0</v>
      </c>
      <c r="L505" s="77"/>
      <c r="M505" s="77">
        <v>797.04</v>
      </c>
      <c r="N505" s="77"/>
      <c r="O505" s="77">
        <v>82887.850000000006</v>
      </c>
      <c r="P505" s="77"/>
      <c r="Q505" s="77">
        <v>406.72</v>
      </c>
      <c r="R505" s="77"/>
      <c r="S505" s="77">
        <v>9242.09</v>
      </c>
      <c r="T505" s="77"/>
      <c r="U505" s="77">
        <v>0</v>
      </c>
      <c r="V505" s="77"/>
      <c r="W505" s="77">
        <v>0</v>
      </c>
      <c r="X505" s="77"/>
      <c r="Y505" s="77">
        <v>0</v>
      </c>
      <c r="Z505" s="77"/>
      <c r="AA505" s="77">
        <v>0</v>
      </c>
      <c r="AB505" s="77"/>
      <c r="AC505" s="77">
        <v>0</v>
      </c>
      <c r="AD505" s="77"/>
      <c r="AE505" s="77">
        <v>31587.07</v>
      </c>
      <c r="AF505" s="77"/>
      <c r="AG505" s="77">
        <v>0</v>
      </c>
      <c r="AH505" s="77"/>
      <c r="AI505" s="77">
        <f t="shared" si="21"/>
        <v>465875.05000000005</v>
      </c>
      <c r="AJ505" s="37"/>
      <c r="AK505" s="15" t="str">
        <f>'Gen Rev'!A505</f>
        <v>Owensville</v>
      </c>
      <c r="AL505" s="15" t="str">
        <f t="shared" si="22"/>
        <v>Owensville</v>
      </c>
      <c r="AM505" s="15" t="b">
        <f t="shared" si="23"/>
        <v>1</v>
      </c>
    </row>
    <row r="506" spans="1:42" ht="12" hidden="1" customHeight="1" x14ac:dyDescent="0.2">
      <c r="A506" s="1" t="s">
        <v>892</v>
      </c>
      <c r="B506" s="1"/>
      <c r="C506" s="1" t="s">
        <v>329</v>
      </c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>
        <f t="shared" si="21"/>
        <v>0</v>
      </c>
      <c r="AJ506" s="24"/>
      <c r="AK506" s="15" t="str">
        <f>'Gen Rev'!A506</f>
        <v>Palestine</v>
      </c>
      <c r="AL506" s="15" t="str">
        <f t="shared" si="22"/>
        <v>Palestine</v>
      </c>
      <c r="AM506" s="15" t="b">
        <f t="shared" si="23"/>
        <v>1</v>
      </c>
    </row>
    <row r="507" spans="1:42" ht="12" customHeight="1" x14ac:dyDescent="0.2">
      <c r="A507" s="15" t="s">
        <v>517</v>
      </c>
      <c r="C507" s="15" t="s">
        <v>513</v>
      </c>
      <c r="E507" s="77">
        <v>36446</v>
      </c>
      <c r="F507" s="77"/>
      <c r="G507" s="77">
        <v>351973</v>
      </c>
      <c r="H507" s="77"/>
      <c r="I507" s="77">
        <f>94351+8395+10696</f>
        <v>113442</v>
      </c>
      <c r="J507" s="77"/>
      <c r="K507" s="77">
        <v>9195</v>
      </c>
      <c r="L507" s="77"/>
      <c r="M507" s="77">
        <v>22806</v>
      </c>
      <c r="N507" s="77"/>
      <c r="O507" s="77">
        <v>2170</v>
      </c>
      <c r="P507" s="77"/>
      <c r="Q507" s="77">
        <v>1934</v>
      </c>
      <c r="R507" s="77"/>
      <c r="S507" s="77">
        <v>5197</v>
      </c>
      <c r="T507" s="77"/>
      <c r="U507" s="77">
        <v>0</v>
      </c>
      <c r="V507" s="77"/>
      <c r="W507" s="77">
        <v>0</v>
      </c>
      <c r="X507" s="77"/>
      <c r="Y507" s="77">
        <v>0</v>
      </c>
      <c r="Z507" s="77"/>
      <c r="AA507" s="77">
        <v>10000</v>
      </c>
      <c r="AB507" s="77"/>
      <c r="AC507" s="77">
        <v>40000</v>
      </c>
      <c r="AD507" s="77"/>
      <c r="AE507" s="77">
        <v>100000</v>
      </c>
      <c r="AF507" s="77"/>
      <c r="AG507" s="77">
        <v>0</v>
      </c>
      <c r="AH507" s="77"/>
      <c r="AI507" s="77">
        <f t="shared" si="21"/>
        <v>693163</v>
      </c>
      <c r="AJ507" s="24"/>
      <c r="AK507" s="15" t="str">
        <f>'Gen Rev'!A507</f>
        <v>Pandora</v>
      </c>
      <c r="AL507" s="15" t="str">
        <f t="shared" si="22"/>
        <v>Pandora</v>
      </c>
      <c r="AM507" s="15" t="b">
        <f t="shared" si="23"/>
        <v>1</v>
      </c>
    </row>
    <row r="508" spans="1:42" ht="12" hidden="1" customHeight="1" x14ac:dyDescent="0.2">
      <c r="A508" s="1" t="s">
        <v>565</v>
      </c>
      <c r="B508" s="1"/>
      <c r="C508" s="1" t="s">
        <v>560</v>
      </c>
      <c r="D508" s="24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>
        <f t="shared" si="21"/>
        <v>0</v>
      </c>
      <c r="AJ508" s="24"/>
      <c r="AK508" s="15" t="str">
        <f>'Gen Rev'!A508</f>
        <v>Parral</v>
      </c>
      <c r="AL508" s="15" t="str">
        <f t="shared" si="22"/>
        <v>Parral</v>
      </c>
      <c r="AM508" s="15" t="b">
        <f t="shared" si="23"/>
        <v>1</v>
      </c>
      <c r="AN508" s="24"/>
      <c r="AO508" s="24"/>
      <c r="AP508" s="24"/>
    </row>
    <row r="509" spans="1:42" ht="12" customHeight="1" x14ac:dyDescent="0.2">
      <c r="A509" s="15" t="s">
        <v>400</v>
      </c>
      <c r="C509" s="15" t="s">
        <v>396</v>
      </c>
      <c r="E509" s="77">
        <v>1309</v>
      </c>
      <c r="F509" s="77"/>
      <c r="G509" s="77">
        <v>0</v>
      </c>
      <c r="H509" s="77"/>
      <c r="I509" s="77">
        <f>3124+1588</f>
        <v>4712</v>
      </c>
      <c r="J509" s="77"/>
      <c r="K509" s="77">
        <v>0</v>
      </c>
      <c r="L509" s="77"/>
      <c r="M509" s="77">
        <v>0</v>
      </c>
      <c r="N509" s="77"/>
      <c r="O509" s="77">
        <v>0</v>
      </c>
      <c r="P509" s="77"/>
      <c r="Q509" s="77">
        <v>15</v>
      </c>
      <c r="R509" s="77"/>
      <c r="S509" s="77">
        <v>356</v>
      </c>
      <c r="T509" s="77"/>
      <c r="U509" s="77">
        <v>0</v>
      </c>
      <c r="V509" s="77"/>
      <c r="W509" s="77">
        <v>0</v>
      </c>
      <c r="X509" s="77"/>
      <c r="Y509" s="77">
        <v>0</v>
      </c>
      <c r="Z509" s="77"/>
      <c r="AA509" s="77">
        <v>0</v>
      </c>
      <c r="AB509" s="77"/>
      <c r="AC509" s="77">
        <v>0</v>
      </c>
      <c r="AD509" s="77"/>
      <c r="AE509" s="77">
        <v>0</v>
      </c>
      <c r="AF509" s="77"/>
      <c r="AG509" s="77">
        <v>0</v>
      </c>
      <c r="AH509" s="77"/>
      <c r="AI509" s="77">
        <f t="shared" si="21"/>
        <v>6392</v>
      </c>
      <c r="AJ509" s="24"/>
      <c r="AK509" s="15" t="str">
        <f>'Gen Rev'!A509</f>
        <v>Patterson</v>
      </c>
      <c r="AL509" s="15" t="str">
        <f t="shared" si="22"/>
        <v>Patterson</v>
      </c>
      <c r="AM509" s="15" t="b">
        <f t="shared" si="23"/>
        <v>1</v>
      </c>
      <c r="AN509" s="31"/>
      <c r="AO509" s="31"/>
      <c r="AP509" s="31"/>
    </row>
    <row r="510" spans="1:42" ht="12" customHeight="1" x14ac:dyDescent="0.2">
      <c r="A510" s="15" t="s">
        <v>496</v>
      </c>
      <c r="C510" s="15" t="s">
        <v>496</v>
      </c>
      <c r="E510" s="77">
        <v>420630</v>
      </c>
      <c r="F510" s="77"/>
      <c r="G510" s="77">
        <v>432373</v>
      </c>
      <c r="H510" s="77"/>
      <c r="I510" s="77">
        <v>1038471</v>
      </c>
      <c r="J510" s="77"/>
      <c r="K510" s="77">
        <v>0</v>
      </c>
      <c r="L510" s="77"/>
      <c r="M510" s="77">
        <v>207445</v>
      </c>
      <c r="N510" s="77"/>
      <c r="O510" s="77">
        <v>39934</v>
      </c>
      <c r="P510" s="77"/>
      <c r="Q510" s="77">
        <v>5348</v>
      </c>
      <c r="R510" s="77"/>
      <c r="S510" s="77">
        <v>219520</v>
      </c>
      <c r="T510" s="77"/>
      <c r="U510" s="77">
        <v>496000</v>
      </c>
      <c r="V510" s="77"/>
      <c r="W510" s="77">
        <v>0</v>
      </c>
      <c r="X510" s="77"/>
      <c r="Y510" s="77">
        <v>0</v>
      </c>
      <c r="Z510" s="77"/>
      <c r="AA510" s="77">
        <v>128378</v>
      </c>
      <c r="AB510" s="77"/>
      <c r="AC510" s="77">
        <v>0</v>
      </c>
      <c r="AD510" s="77"/>
      <c r="AE510" s="77">
        <v>5746204</v>
      </c>
      <c r="AF510" s="77"/>
      <c r="AG510" s="77">
        <v>0</v>
      </c>
      <c r="AH510" s="77"/>
      <c r="AI510" s="77">
        <f t="shared" si="21"/>
        <v>8734303</v>
      </c>
      <c r="AJ510" s="24"/>
      <c r="AK510" s="15" t="str">
        <f>'Gen Rev'!A510</f>
        <v>Paulding</v>
      </c>
      <c r="AL510" s="15" t="str">
        <f t="shared" si="22"/>
        <v>Paulding</v>
      </c>
      <c r="AM510" s="15" t="b">
        <f t="shared" si="23"/>
        <v>1</v>
      </c>
    </row>
    <row r="511" spans="1:42" ht="12" customHeight="1" x14ac:dyDescent="0.2">
      <c r="A511" s="1" t="s">
        <v>498</v>
      </c>
      <c r="B511" s="1"/>
      <c r="C511" s="1" t="s">
        <v>496</v>
      </c>
      <c r="E511" s="77">
        <v>146145.56</v>
      </c>
      <c r="F511" s="77"/>
      <c r="G511" s="77">
        <v>0</v>
      </c>
      <c r="H511" s="77"/>
      <c r="I511" s="77">
        <v>308054.42</v>
      </c>
      <c r="J511" s="77"/>
      <c r="K511" s="77">
        <v>0</v>
      </c>
      <c r="L511" s="77"/>
      <c r="M511" s="77">
        <v>83817.210000000006</v>
      </c>
      <c r="N511" s="77"/>
      <c r="O511" s="77">
        <v>22534.400000000001</v>
      </c>
      <c r="P511" s="77"/>
      <c r="Q511" s="77">
        <v>904.89</v>
      </c>
      <c r="R511" s="77"/>
      <c r="S511" s="77">
        <v>122570.32</v>
      </c>
      <c r="T511" s="77"/>
      <c r="U511" s="77">
        <v>0</v>
      </c>
      <c r="V511" s="77"/>
      <c r="W511" s="77">
        <v>50000</v>
      </c>
      <c r="X511" s="77"/>
      <c r="Y511" s="77">
        <v>0</v>
      </c>
      <c r="Z511" s="77"/>
      <c r="AA511" s="77">
        <v>113759.76</v>
      </c>
      <c r="AB511" s="77"/>
      <c r="AC511" s="77">
        <v>0</v>
      </c>
      <c r="AD511" s="77"/>
      <c r="AE511" s="77">
        <v>0</v>
      </c>
      <c r="AF511" s="77"/>
      <c r="AG511" s="77">
        <v>0</v>
      </c>
      <c r="AH511" s="77"/>
      <c r="AI511" s="77">
        <f t="shared" si="21"/>
        <v>847786.56</v>
      </c>
      <c r="AJ511" s="24"/>
      <c r="AK511" s="15" t="str">
        <f>'Gen Rev'!A511</f>
        <v>Payne</v>
      </c>
      <c r="AL511" s="15" t="str">
        <f t="shared" si="22"/>
        <v>Payne</v>
      </c>
      <c r="AM511" s="15" t="b">
        <f t="shared" si="23"/>
        <v>1</v>
      </c>
    </row>
    <row r="512" spans="1:42" s="31" customFormat="1" ht="12" customHeight="1" x14ac:dyDescent="0.2">
      <c r="A512" s="1" t="s">
        <v>676</v>
      </c>
      <c r="B512" s="1"/>
      <c r="C512" s="1" t="s">
        <v>659</v>
      </c>
      <c r="D512" s="15"/>
      <c r="E512" s="77">
        <v>224232.57</v>
      </c>
      <c r="F512" s="77"/>
      <c r="G512" s="77">
        <v>0</v>
      </c>
      <c r="H512" s="77"/>
      <c r="I512" s="77">
        <v>125252.54</v>
      </c>
      <c r="J512" s="77"/>
      <c r="K512" s="77">
        <v>0</v>
      </c>
      <c r="L512" s="77"/>
      <c r="M512" s="77">
        <v>62203.67</v>
      </c>
      <c r="N512" s="77"/>
      <c r="O512" s="77">
        <v>57613.24</v>
      </c>
      <c r="P512" s="77"/>
      <c r="Q512" s="77">
        <v>630.97</v>
      </c>
      <c r="R512" s="77"/>
      <c r="S512" s="77">
        <v>57438.38</v>
      </c>
      <c r="T512" s="77"/>
      <c r="U512" s="77">
        <v>0</v>
      </c>
      <c r="V512" s="77"/>
      <c r="W512" s="77">
        <v>0</v>
      </c>
      <c r="X512" s="77"/>
      <c r="Y512" s="77">
        <v>0</v>
      </c>
      <c r="Z512" s="77"/>
      <c r="AA512" s="77">
        <v>0</v>
      </c>
      <c r="AB512" s="77"/>
      <c r="AC512" s="77">
        <v>0</v>
      </c>
      <c r="AD512" s="77"/>
      <c r="AE512" s="77">
        <v>38266.699999999997</v>
      </c>
      <c r="AF512" s="77"/>
      <c r="AG512" s="77">
        <v>0</v>
      </c>
      <c r="AH512" s="77"/>
      <c r="AI512" s="77">
        <f t="shared" si="21"/>
        <v>565638.06999999983</v>
      </c>
      <c r="AJ512" s="24"/>
      <c r="AK512" s="15" t="str">
        <f>'Gen Rev'!A512</f>
        <v>Peebles</v>
      </c>
      <c r="AL512" s="15" t="str">
        <f t="shared" si="22"/>
        <v>Peebles</v>
      </c>
      <c r="AM512" s="15" t="b">
        <f t="shared" si="23"/>
        <v>1</v>
      </c>
    </row>
    <row r="513" spans="1:42" s="31" customFormat="1" ht="12" customHeight="1" x14ac:dyDescent="0.2">
      <c r="A513" s="1" t="s">
        <v>606</v>
      </c>
      <c r="B513" s="1"/>
      <c r="C513" s="1" t="s">
        <v>601</v>
      </c>
      <c r="D513" s="15"/>
      <c r="E513" s="77">
        <v>85141.27</v>
      </c>
      <c r="F513" s="77"/>
      <c r="G513" s="77">
        <v>339480.41</v>
      </c>
      <c r="H513" s="77"/>
      <c r="I513" s="77">
        <v>146817.93</v>
      </c>
      <c r="J513" s="77"/>
      <c r="K513" s="77">
        <v>113830.59</v>
      </c>
      <c r="L513" s="77"/>
      <c r="M513" s="77">
        <v>915</v>
      </c>
      <c r="N513" s="77"/>
      <c r="O513" s="77">
        <v>18111.78</v>
      </c>
      <c r="P513" s="77"/>
      <c r="Q513" s="77">
        <v>13861.14</v>
      </c>
      <c r="R513" s="77"/>
      <c r="S513" s="77">
        <v>4808.68</v>
      </c>
      <c r="T513" s="77"/>
      <c r="U513" s="77">
        <v>0</v>
      </c>
      <c r="V513" s="77"/>
      <c r="W513" s="77">
        <v>0</v>
      </c>
      <c r="X513" s="77"/>
      <c r="Y513" s="77">
        <v>0</v>
      </c>
      <c r="Z513" s="77"/>
      <c r="AA513" s="77">
        <v>250000</v>
      </c>
      <c r="AB513" s="77"/>
      <c r="AC513" s="77">
        <v>15000</v>
      </c>
      <c r="AD513" s="77"/>
      <c r="AE513" s="77">
        <v>1668.6</v>
      </c>
      <c r="AF513" s="77"/>
      <c r="AG513" s="77">
        <v>0</v>
      </c>
      <c r="AH513" s="77"/>
      <c r="AI513" s="77">
        <f t="shared" si="21"/>
        <v>989635.4</v>
      </c>
      <c r="AJ513" s="24"/>
      <c r="AK513" s="15" t="str">
        <f>'Gen Rev'!A513</f>
        <v>Pemberville</v>
      </c>
      <c r="AL513" s="15" t="str">
        <f t="shared" si="22"/>
        <v>Pemberville</v>
      </c>
      <c r="AM513" s="15" t="b">
        <f t="shared" si="23"/>
        <v>1</v>
      </c>
      <c r="AN513" s="15"/>
      <c r="AO513" s="15"/>
      <c r="AP513" s="15"/>
    </row>
    <row r="514" spans="1:42" s="31" customFormat="1" ht="12" customHeight="1" x14ac:dyDescent="0.2">
      <c r="A514" s="1" t="s">
        <v>552</v>
      </c>
      <c r="B514" s="1"/>
      <c r="C514" s="1" t="s">
        <v>549</v>
      </c>
      <c r="D514" s="15"/>
      <c r="E514" s="77">
        <v>104437.15</v>
      </c>
      <c r="F514" s="77"/>
      <c r="G514" s="77">
        <v>297834.05</v>
      </c>
      <c r="H514" s="77"/>
      <c r="I514" s="77">
        <v>183981.46</v>
      </c>
      <c r="J514" s="77"/>
      <c r="K514" s="77">
        <v>0</v>
      </c>
      <c r="L514" s="77"/>
      <c r="M514" s="77">
        <v>215762.4</v>
      </c>
      <c r="N514" s="77"/>
      <c r="O514" s="77">
        <v>57713.42</v>
      </c>
      <c r="P514" s="77"/>
      <c r="Q514" s="77">
        <v>87.19</v>
      </c>
      <c r="R514" s="77"/>
      <c r="S514" s="77">
        <v>24723.77</v>
      </c>
      <c r="T514" s="77"/>
      <c r="U514" s="77">
        <v>0</v>
      </c>
      <c r="V514" s="77"/>
      <c r="W514" s="77">
        <v>0</v>
      </c>
      <c r="X514" s="77"/>
      <c r="Y514" s="77">
        <v>17</v>
      </c>
      <c r="Z514" s="77"/>
      <c r="AA514" s="77">
        <v>0</v>
      </c>
      <c r="AB514" s="77"/>
      <c r="AC514" s="77">
        <v>0</v>
      </c>
      <c r="AD514" s="77"/>
      <c r="AE514" s="77">
        <v>0</v>
      </c>
      <c r="AF514" s="77"/>
      <c r="AG514" s="77">
        <v>0</v>
      </c>
      <c r="AH514" s="77"/>
      <c r="AI514" s="77">
        <f t="shared" si="21"/>
        <v>884556.44</v>
      </c>
      <c r="AJ514" s="24"/>
      <c r="AK514" s="15" t="str">
        <f>'Gen Rev'!A514</f>
        <v>Peninsula</v>
      </c>
      <c r="AL514" s="15" t="str">
        <f t="shared" si="22"/>
        <v>Peninsula</v>
      </c>
      <c r="AM514" s="15" t="b">
        <f t="shared" si="23"/>
        <v>1</v>
      </c>
      <c r="AN514" s="15"/>
      <c r="AO514" s="15"/>
      <c r="AP514" s="15"/>
    </row>
    <row r="515" spans="1:42" ht="12" customHeight="1" x14ac:dyDescent="0.2">
      <c r="A515" s="15" t="s">
        <v>433</v>
      </c>
      <c r="C515" s="15" t="s">
        <v>430</v>
      </c>
      <c r="E515" s="77">
        <v>74787</v>
      </c>
      <c r="F515" s="77"/>
      <c r="G515" s="77">
        <v>613232</v>
      </c>
      <c r="H515" s="77"/>
      <c r="I515" s="77">
        <v>384672</v>
      </c>
      <c r="J515" s="77"/>
      <c r="K515" s="77">
        <v>42347</v>
      </c>
      <c r="L515" s="77"/>
      <c r="M515" s="77">
        <v>5951</v>
      </c>
      <c r="N515" s="77"/>
      <c r="O515" s="77">
        <v>9331</v>
      </c>
      <c r="P515" s="77"/>
      <c r="Q515" s="77">
        <v>1022</v>
      </c>
      <c r="R515" s="77"/>
      <c r="S515" s="77">
        <v>97303</v>
      </c>
      <c r="T515" s="77"/>
      <c r="U515" s="77">
        <v>0</v>
      </c>
      <c r="V515" s="77"/>
      <c r="W515" s="77">
        <v>0</v>
      </c>
      <c r="X515" s="77"/>
      <c r="Y515" s="77">
        <v>0</v>
      </c>
      <c r="Z515" s="77"/>
      <c r="AA515" s="77">
        <v>12312</v>
      </c>
      <c r="AB515" s="77"/>
      <c r="AC515" s="77">
        <v>20753</v>
      </c>
      <c r="AD515" s="77"/>
      <c r="AE515" s="77">
        <v>0</v>
      </c>
      <c r="AF515" s="77"/>
      <c r="AG515" s="77">
        <v>0</v>
      </c>
      <c r="AH515" s="77"/>
      <c r="AI515" s="77">
        <f t="shared" si="21"/>
        <v>1261710</v>
      </c>
      <c r="AJ515" s="24"/>
      <c r="AK515" s="15" t="str">
        <f>'Gen Rev'!A515</f>
        <v xml:space="preserve">Perry </v>
      </c>
      <c r="AL515" s="15" t="str">
        <f t="shared" si="22"/>
        <v xml:space="preserve">Perry </v>
      </c>
      <c r="AM515" s="15" t="b">
        <f t="shared" si="23"/>
        <v>1</v>
      </c>
      <c r="AN515" s="31"/>
      <c r="AO515" s="31"/>
      <c r="AP515" s="31"/>
    </row>
    <row r="516" spans="1:42" ht="12" customHeight="1" x14ac:dyDescent="0.2">
      <c r="A516" s="1" t="s">
        <v>677</v>
      </c>
      <c r="B516" s="1"/>
      <c r="C516" s="1" t="s">
        <v>666</v>
      </c>
      <c r="E516" s="77">
        <v>28024.400000000001</v>
      </c>
      <c r="F516" s="77"/>
      <c r="G516" s="77">
        <v>152783.65</v>
      </c>
      <c r="H516" s="77"/>
      <c r="I516" s="77">
        <v>302307.83</v>
      </c>
      <c r="J516" s="77"/>
      <c r="K516" s="77">
        <v>0</v>
      </c>
      <c r="L516" s="77"/>
      <c r="M516" s="77">
        <v>0</v>
      </c>
      <c r="N516" s="77"/>
      <c r="O516" s="77">
        <v>3221.16</v>
      </c>
      <c r="P516" s="77"/>
      <c r="Q516" s="77">
        <v>128.71</v>
      </c>
      <c r="R516" s="77"/>
      <c r="S516" s="77">
        <v>1708.05</v>
      </c>
      <c r="T516" s="77"/>
      <c r="U516" s="77">
        <v>0</v>
      </c>
      <c r="V516" s="77"/>
      <c r="W516" s="77">
        <v>0</v>
      </c>
      <c r="X516" s="77"/>
      <c r="Y516" s="77">
        <v>0</v>
      </c>
      <c r="Z516" s="77"/>
      <c r="AA516" s="77">
        <v>5000</v>
      </c>
      <c r="AB516" s="77"/>
      <c r="AC516" s="77">
        <v>0</v>
      </c>
      <c r="AD516" s="77"/>
      <c r="AE516" s="77">
        <v>0</v>
      </c>
      <c r="AF516" s="77"/>
      <c r="AG516" s="77">
        <v>0</v>
      </c>
      <c r="AH516" s="77"/>
      <c r="AI516" s="77">
        <f t="shared" si="21"/>
        <v>493173.8</v>
      </c>
      <c r="AJ516" s="24"/>
      <c r="AK516" s="15" t="str">
        <f>'Gen Rev'!A516</f>
        <v>Perrysville</v>
      </c>
      <c r="AL516" s="15" t="str">
        <f t="shared" si="22"/>
        <v>Perrysville</v>
      </c>
      <c r="AM516" s="15" t="b">
        <f t="shared" si="23"/>
        <v>1</v>
      </c>
      <c r="AN516" s="31"/>
      <c r="AO516" s="31"/>
      <c r="AP516" s="31"/>
    </row>
    <row r="517" spans="1:42" s="31" customFormat="1" ht="12" customHeight="1" x14ac:dyDescent="0.2">
      <c r="A517" s="15" t="s">
        <v>482</v>
      </c>
      <c r="B517" s="15"/>
      <c r="C517" s="15" t="s">
        <v>479</v>
      </c>
      <c r="D517" s="15"/>
      <c r="E517" s="77">
        <v>76271</v>
      </c>
      <c r="F517" s="77"/>
      <c r="G517" s="77">
        <v>58298</v>
      </c>
      <c r="H517" s="77"/>
      <c r="I517" s="77">
        <v>281371</v>
      </c>
      <c r="J517" s="77"/>
      <c r="K517" s="77">
        <v>14993</v>
      </c>
      <c r="L517" s="77"/>
      <c r="M517" s="77">
        <v>63130</v>
      </c>
      <c r="N517" s="77"/>
      <c r="O517" s="77">
        <v>10687</v>
      </c>
      <c r="P517" s="77"/>
      <c r="Q517" s="77">
        <v>0</v>
      </c>
      <c r="R517" s="77"/>
      <c r="S517" s="77">
        <v>4639</v>
      </c>
      <c r="T517" s="77"/>
      <c r="U517" s="77">
        <v>0</v>
      </c>
      <c r="V517" s="77"/>
      <c r="W517" s="77">
        <v>0</v>
      </c>
      <c r="X517" s="77"/>
      <c r="Y517" s="77">
        <v>0</v>
      </c>
      <c r="Z517" s="77"/>
      <c r="AA517" s="77">
        <v>19426</v>
      </c>
      <c r="AB517" s="77"/>
      <c r="AC517" s="77">
        <v>60000</v>
      </c>
      <c r="AD517" s="77"/>
      <c r="AE517" s="77">
        <f>212955+2076</f>
        <v>215031</v>
      </c>
      <c r="AF517" s="77"/>
      <c r="AG517" s="77">
        <v>0</v>
      </c>
      <c r="AH517" s="77"/>
      <c r="AI517" s="77">
        <f t="shared" si="21"/>
        <v>803846</v>
      </c>
      <c r="AJ517" s="24"/>
      <c r="AK517" s="15" t="str">
        <f>'Gen Rev'!A517</f>
        <v>Phillipsburg</v>
      </c>
      <c r="AL517" s="15" t="str">
        <f t="shared" si="22"/>
        <v>Phillipsburg</v>
      </c>
      <c r="AM517" s="15" t="b">
        <f t="shared" si="23"/>
        <v>1</v>
      </c>
      <c r="AN517" s="15"/>
      <c r="AO517" s="15"/>
      <c r="AP517" s="15"/>
    </row>
    <row r="518" spans="1:42" ht="12" customHeight="1" x14ac:dyDescent="0.2">
      <c r="A518" s="15" t="s">
        <v>487</v>
      </c>
      <c r="C518" s="15" t="s">
        <v>484</v>
      </c>
      <c r="E518" s="77">
        <v>41443</v>
      </c>
      <c r="F518" s="77"/>
      <c r="G518" s="77">
        <v>0</v>
      </c>
      <c r="H518" s="77"/>
      <c r="I518" s="77">
        <v>52727</v>
      </c>
      <c r="J518" s="77"/>
      <c r="K518" s="77">
        <v>0</v>
      </c>
      <c r="L518" s="77"/>
      <c r="M518" s="77">
        <v>0</v>
      </c>
      <c r="N518" s="77"/>
      <c r="O518" s="77">
        <v>4057</v>
      </c>
      <c r="P518" s="77"/>
      <c r="Q518" s="77">
        <v>0</v>
      </c>
      <c r="R518" s="77"/>
      <c r="S518" s="77">
        <v>52000</v>
      </c>
      <c r="T518" s="77"/>
      <c r="U518" s="77">
        <v>0</v>
      </c>
      <c r="V518" s="77"/>
      <c r="W518" s="77">
        <v>0</v>
      </c>
      <c r="X518" s="77"/>
      <c r="Y518" s="77">
        <v>0</v>
      </c>
      <c r="Z518" s="77"/>
      <c r="AA518" s="77">
        <v>0</v>
      </c>
      <c r="AB518" s="77"/>
      <c r="AC518" s="77">
        <v>0</v>
      </c>
      <c r="AD518" s="77"/>
      <c r="AE518" s="77">
        <v>0</v>
      </c>
      <c r="AF518" s="77"/>
      <c r="AG518" s="77">
        <v>0</v>
      </c>
      <c r="AH518" s="77"/>
      <c r="AI518" s="77">
        <f t="shared" si="21"/>
        <v>150227</v>
      </c>
      <c r="AJ518" s="24"/>
      <c r="AK518" s="15" t="str">
        <f>'Gen Rev'!A518</f>
        <v>Philo</v>
      </c>
      <c r="AL518" s="15" t="str">
        <f t="shared" si="22"/>
        <v>Philo</v>
      </c>
      <c r="AM518" s="15" t="b">
        <f t="shared" si="23"/>
        <v>1</v>
      </c>
    </row>
    <row r="519" spans="1:42" ht="12" customHeight="1" x14ac:dyDescent="0.2">
      <c r="A519" s="1" t="s">
        <v>505</v>
      </c>
      <c r="B519" s="1"/>
      <c r="C519" s="1" t="s">
        <v>506</v>
      </c>
      <c r="E519" s="77">
        <v>146470.21</v>
      </c>
      <c r="F519" s="77"/>
      <c r="G519" s="77">
        <v>470538.68</v>
      </c>
      <c r="H519" s="77"/>
      <c r="I519" s="77">
        <v>176177.74</v>
      </c>
      <c r="J519" s="77"/>
      <c r="K519" s="77">
        <v>0</v>
      </c>
      <c r="L519" s="77"/>
      <c r="M519" s="77">
        <v>0</v>
      </c>
      <c r="N519" s="77"/>
      <c r="O519" s="77">
        <v>70095.81</v>
      </c>
      <c r="P519" s="77"/>
      <c r="Q519" s="77">
        <v>1519.31</v>
      </c>
      <c r="R519" s="77"/>
      <c r="S519" s="77">
        <v>14551.59</v>
      </c>
      <c r="T519" s="77"/>
      <c r="U519" s="77">
        <v>0</v>
      </c>
      <c r="V519" s="77"/>
      <c r="W519" s="77">
        <v>0</v>
      </c>
      <c r="X519" s="77"/>
      <c r="Y519" s="77">
        <v>0</v>
      </c>
      <c r="Z519" s="77"/>
      <c r="AA519" s="77">
        <v>0</v>
      </c>
      <c r="AB519" s="77"/>
      <c r="AC519" s="77">
        <v>0</v>
      </c>
      <c r="AD519" s="77"/>
      <c r="AE519" s="77">
        <v>0</v>
      </c>
      <c r="AF519" s="77"/>
      <c r="AG519" s="77">
        <v>0</v>
      </c>
      <c r="AH519" s="77"/>
      <c r="AI519" s="77">
        <f t="shared" si="21"/>
        <v>879353.34</v>
      </c>
      <c r="AJ519" s="24"/>
      <c r="AK519" s="15" t="str">
        <f>'Gen Rev'!A519</f>
        <v>Piketon</v>
      </c>
      <c r="AL519" s="15" t="str">
        <f t="shared" si="22"/>
        <v>Piketon</v>
      </c>
      <c r="AM519" s="15" t="b">
        <f t="shared" si="23"/>
        <v>1</v>
      </c>
    </row>
    <row r="520" spans="1:42" ht="12" customHeight="1" x14ac:dyDescent="0.2">
      <c r="A520" s="15" t="s">
        <v>893</v>
      </c>
      <c r="C520" s="15" t="s">
        <v>596</v>
      </c>
      <c r="E520" s="77">
        <v>229696</v>
      </c>
      <c r="F520" s="77"/>
      <c r="G520" s="77">
        <v>419100</v>
      </c>
      <c r="H520" s="77"/>
      <c r="I520" s="77">
        <v>490609</v>
      </c>
      <c r="J520" s="77"/>
      <c r="K520" s="77">
        <v>47014</v>
      </c>
      <c r="L520" s="77"/>
      <c r="M520" s="77">
        <v>59269</v>
      </c>
      <c r="N520" s="77"/>
      <c r="O520" s="77">
        <v>7657</v>
      </c>
      <c r="P520" s="77"/>
      <c r="Q520" s="77">
        <v>8898</v>
      </c>
      <c r="R520" s="77"/>
      <c r="S520" s="77">
        <v>65303</v>
      </c>
      <c r="T520" s="77"/>
      <c r="U520" s="77">
        <v>0</v>
      </c>
      <c r="V520" s="77"/>
      <c r="W520" s="77">
        <v>0</v>
      </c>
      <c r="X520" s="77"/>
      <c r="Y520" s="77">
        <v>0</v>
      </c>
      <c r="Z520" s="77"/>
      <c r="AA520" s="77">
        <v>0</v>
      </c>
      <c r="AB520" s="77"/>
      <c r="AC520" s="77">
        <v>0</v>
      </c>
      <c r="AD520" s="77"/>
      <c r="AE520" s="77">
        <v>27912</v>
      </c>
      <c r="AF520" s="77"/>
      <c r="AG520" s="77">
        <v>0</v>
      </c>
      <c r="AH520" s="77"/>
      <c r="AI520" s="77">
        <f t="shared" si="21"/>
        <v>1355458</v>
      </c>
      <c r="AJ520" s="24"/>
      <c r="AK520" s="15" t="str">
        <f>'Gen Rev'!A520</f>
        <v>Pioneer</v>
      </c>
      <c r="AL520" s="15" t="str">
        <f t="shared" si="22"/>
        <v>Pioneer</v>
      </c>
      <c r="AM520" s="15" t="b">
        <f t="shared" si="23"/>
        <v>1</v>
      </c>
      <c r="AN520" s="32"/>
      <c r="AO520" s="32"/>
      <c r="AP520" s="32"/>
    </row>
    <row r="521" spans="1:42" s="31" customFormat="1" ht="12" customHeight="1" x14ac:dyDescent="0.2">
      <c r="A521" s="1" t="s">
        <v>54</v>
      </c>
      <c r="B521" s="1"/>
      <c r="C521" s="1" t="s">
        <v>752</v>
      </c>
      <c r="D521" s="15"/>
      <c r="E521" s="77">
        <v>37425.620000000003</v>
      </c>
      <c r="F521" s="77"/>
      <c r="G521" s="77">
        <v>0</v>
      </c>
      <c r="H521" s="77"/>
      <c r="I521" s="77">
        <v>50989.88</v>
      </c>
      <c r="J521" s="77"/>
      <c r="K521" s="77">
        <v>304</v>
      </c>
      <c r="L521" s="77"/>
      <c r="M521" s="77">
        <v>26343.39</v>
      </c>
      <c r="N521" s="77"/>
      <c r="O521" s="77">
        <v>0</v>
      </c>
      <c r="P521" s="77"/>
      <c r="Q521" s="77">
        <v>320.06</v>
      </c>
      <c r="R521" s="77"/>
      <c r="S521" s="77">
        <v>8300.92</v>
      </c>
      <c r="T521" s="77"/>
      <c r="U521" s="77">
        <v>0</v>
      </c>
      <c r="V521" s="77"/>
      <c r="W521" s="77">
        <v>0</v>
      </c>
      <c r="X521" s="77"/>
      <c r="Y521" s="77">
        <v>0</v>
      </c>
      <c r="Z521" s="77"/>
      <c r="AA521" s="77">
        <v>0</v>
      </c>
      <c r="AB521" s="77"/>
      <c r="AC521" s="77">
        <v>0</v>
      </c>
      <c r="AD521" s="77"/>
      <c r="AE521" s="77">
        <v>0</v>
      </c>
      <c r="AF521" s="77"/>
      <c r="AG521" s="77">
        <v>0</v>
      </c>
      <c r="AH521" s="77"/>
      <c r="AI521" s="77">
        <f t="shared" si="21"/>
        <v>123683.87</v>
      </c>
      <c r="AJ521" s="24"/>
      <c r="AK521" s="15" t="str">
        <f>'Gen Rev'!A521</f>
        <v>Pitsburg</v>
      </c>
      <c r="AL521" s="15" t="str">
        <f t="shared" si="22"/>
        <v>Pitsburg</v>
      </c>
      <c r="AM521" s="15" t="b">
        <f t="shared" si="23"/>
        <v>1</v>
      </c>
      <c r="AN521" s="15"/>
      <c r="AO521" s="15"/>
      <c r="AP521" s="15"/>
    </row>
    <row r="522" spans="1:42" ht="12" customHeight="1" x14ac:dyDescent="0.2">
      <c r="A522" s="1" t="s">
        <v>460</v>
      </c>
      <c r="B522" s="1"/>
      <c r="C522" s="1" t="s">
        <v>432</v>
      </c>
      <c r="E522" s="77">
        <v>481909.64</v>
      </c>
      <c r="F522" s="77"/>
      <c r="G522" s="77">
        <v>1057418.75</v>
      </c>
      <c r="H522" s="77"/>
      <c r="I522" s="77">
        <v>325514.69</v>
      </c>
      <c r="J522" s="77"/>
      <c r="K522" s="77">
        <v>0</v>
      </c>
      <c r="L522" s="77"/>
      <c r="M522" s="77">
        <v>638165.62</v>
      </c>
      <c r="N522" s="77"/>
      <c r="O522" s="77">
        <v>71820.92</v>
      </c>
      <c r="P522" s="77"/>
      <c r="Q522" s="77">
        <v>9776.89</v>
      </c>
      <c r="R522" s="77"/>
      <c r="S522" s="77">
        <v>208316.46</v>
      </c>
      <c r="T522" s="77"/>
      <c r="U522" s="77">
        <v>0</v>
      </c>
      <c r="V522" s="77"/>
      <c r="W522" s="77">
        <v>0</v>
      </c>
      <c r="X522" s="77"/>
      <c r="Y522" s="77">
        <v>0</v>
      </c>
      <c r="Z522" s="77"/>
      <c r="AA522" s="77">
        <v>0</v>
      </c>
      <c r="AB522" s="77"/>
      <c r="AC522" s="77">
        <v>134000</v>
      </c>
      <c r="AD522" s="77"/>
      <c r="AE522" s="77">
        <v>0</v>
      </c>
      <c r="AF522" s="77"/>
      <c r="AG522" s="77">
        <v>0</v>
      </c>
      <c r="AH522" s="77"/>
      <c r="AI522" s="77">
        <f t="shared" si="21"/>
        <v>2926922.97</v>
      </c>
      <c r="AJ522" s="24"/>
      <c r="AK522" s="15" t="str">
        <f>'Gen Rev'!A522</f>
        <v>Plain City</v>
      </c>
      <c r="AL522" s="15" t="str">
        <f t="shared" si="22"/>
        <v>Plain City</v>
      </c>
      <c r="AM522" s="15" t="b">
        <f t="shared" si="23"/>
        <v>1</v>
      </c>
      <c r="AN522" s="30"/>
      <c r="AO522" s="30"/>
      <c r="AP522" s="30"/>
    </row>
    <row r="523" spans="1:42" ht="12" customHeight="1" x14ac:dyDescent="0.2">
      <c r="A523" s="15" t="s">
        <v>894</v>
      </c>
      <c r="C523" s="15" t="s">
        <v>308</v>
      </c>
      <c r="E523" s="77">
        <v>7571</v>
      </c>
      <c r="F523" s="77"/>
      <c r="G523" s="77">
        <v>0</v>
      </c>
      <c r="H523" s="77"/>
      <c r="I523" s="77">
        <v>7210</v>
      </c>
      <c r="J523" s="77"/>
      <c r="K523" s="77">
        <v>0</v>
      </c>
      <c r="L523" s="77"/>
      <c r="M523" s="77">
        <v>0</v>
      </c>
      <c r="N523" s="77"/>
      <c r="O523" s="77">
        <v>0</v>
      </c>
      <c r="P523" s="77"/>
      <c r="Q523" s="77">
        <v>548</v>
      </c>
      <c r="R523" s="77"/>
      <c r="S523" s="77">
        <v>226</v>
      </c>
      <c r="T523" s="77"/>
      <c r="U523" s="77">
        <v>0</v>
      </c>
      <c r="V523" s="77"/>
      <c r="W523" s="77">
        <v>0</v>
      </c>
      <c r="X523" s="77"/>
      <c r="Y523" s="77">
        <v>0</v>
      </c>
      <c r="Z523" s="77"/>
      <c r="AA523" s="77">
        <v>0</v>
      </c>
      <c r="AB523" s="77"/>
      <c r="AC523" s="77">
        <v>0</v>
      </c>
      <c r="AD523" s="77"/>
      <c r="AE523" s="77">
        <v>0</v>
      </c>
      <c r="AF523" s="77"/>
      <c r="AG523" s="77">
        <v>0</v>
      </c>
      <c r="AH523" s="77"/>
      <c r="AI523" s="77">
        <f t="shared" si="21"/>
        <v>15555</v>
      </c>
      <c r="AJ523" s="24"/>
      <c r="AK523" s="15" t="str">
        <f>'Gen Rev'!A523</f>
        <v>Plainfield</v>
      </c>
      <c r="AL523" s="15" t="str">
        <f t="shared" si="22"/>
        <v>Plainfield</v>
      </c>
      <c r="AM523" s="15" t="b">
        <f t="shared" si="23"/>
        <v>1</v>
      </c>
    </row>
    <row r="524" spans="1:42" s="31" customFormat="1" ht="12" customHeight="1" x14ac:dyDescent="0.2">
      <c r="A524" s="1" t="s">
        <v>376</v>
      </c>
      <c r="B524" s="1"/>
      <c r="C524" s="1" t="s">
        <v>375</v>
      </c>
      <c r="D524" s="15"/>
      <c r="E524" s="77">
        <v>32265.99</v>
      </c>
      <c r="F524" s="77"/>
      <c r="G524" s="77">
        <v>0</v>
      </c>
      <c r="H524" s="77"/>
      <c r="I524" s="77">
        <v>39960.559999999998</v>
      </c>
      <c r="J524" s="77"/>
      <c r="K524" s="77">
        <v>336.44</v>
      </c>
      <c r="L524" s="77"/>
      <c r="M524" s="77">
        <v>29050</v>
      </c>
      <c r="N524" s="77"/>
      <c r="O524" s="77">
        <v>7099.95</v>
      </c>
      <c r="P524" s="77"/>
      <c r="Q524" s="77">
        <v>4368.62</v>
      </c>
      <c r="R524" s="77"/>
      <c r="S524" s="77">
        <v>10000</v>
      </c>
      <c r="T524" s="77"/>
      <c r="U524" s="77">
        <v>0</v>
      </c>
      <c r="V524" s="77"/>
      <c r="W524" s="77">
        <v>0</v>
      </c>
      <c r="X524" s="77"/>
      <c r="Y524" s="77">
        <v>0</v>
      </c>
      <c r="Z524" s="77"/>
      <c r="AA524" s="77">
        <v>0</v>
      </c>
      <c r="AB524" s="77"/>
      <c r="AC524" s="77">
        <v>0</v>
      </c>
      <c r="AD524" s="77"/>
      <c r="AE524" s="77">
        <v>0</v>
      </c>
      <c r="AF524" s="77"/>
      <c r="AG524" s="77">
        <v>0</v>
      </c>
      <c r="AH524" s="77"/>
      <c r="AI524" s="77">
        <f t="shared" si="21"/>
        <v>123081.56</v>
      </c>
      <c r="AJ524" s="24"/>
      <c r="AK524" s="15" t="str">
        <f>'Gen Rev'!A524</f>
        <v>Pleasant City</v>
      </c>
      <c r="AL524" s="15" t="str">
        <f t="shared" si="22"/>
        <v>Pleasant City</v>
      </c>
      <c r="AM524" s="15" t="b">
        <f t="shared" si="23"/>
        <v>1</v>
      </c>
      <c r="AN524" s="15"/>
      <c r="AO524" s="15"/>
      <c r="AP524" s="15"/>
    </row>
    <row r="525" spans="1:42" ht="12" customHeight="1" x14ac:dyDescent="0.2">
      <c r="A525" s="1" t="s">
        <v>163</v>
      </c>
      <c r="B525" s="1"/>
      <c r="C525" s="1" t="s">
        <v>784</v>
      </c>
      <c r="E525" s="77">
        <v>28003.74</v>
      </c>
      <c r="F525" s="77"/>
      <c r="G525" s="77">
        <v>172359.5</v>
      </c>
      <c r="H525" s="77"/>
      <c r="I525" s="77">
        <v>899274.96</v>
      </c>
      <c r="J525" s="77"/>
      <c r="K525" s="77">
        <v>59971.07</v>
      </c>
      <c r="L525" s="77"/>
      <c r="M525" s="77">
        <v>26858.82</v>
      </c>
      <c r="N525" s="77"/>
      <c r="O525" s="77">
        <v>11490.4</v>
      </c>
      <c r="P525" s="77"/>
      <c r="Q525" s="77">
        <v>1773.4</v>
      </c>
      <c r="R525" s="77"/>
      <c r="S525" s="77">
        <v>2388.58</v>
      </c>
      <c r="T525" s="77"/>
      <c r="U525" s="77">
        <v>0</v>
      </c>
      <c r="V525" s="77"/>
      <c r="W525" s="77">
        <v>0</v>
      </c>
      <c r="X525" s="77"/>
      <c r="Y525" s="77">
        <v>0</v>
      </c>
      <c r="Z525" s="77"/>
      <c r="AA525" s="77">
        <v>0</v>
      </c>
      <c r="AB525" s="77"/>
      <c r="AC525" s="77">
        <v>0</v>
      </c>
      <c r="AD525" s="77"/>
      <c r="AE525" s="77">
        <v>0</v>
      </c>
      <c r="AF525" s="77"/>
      <c r="AG525" s="77">
        <v>0</v>
      </c>
      <c r="AH525" s="77"/>
      <c r="AI525" s="77">
        <f t="shared" si="21"/>
        <v>1202120.47</v>
      </c>
      <c r="AJ525" s="24"/>
      <c r="AK525" s="15" t="str">
        <f>'Gen Rev'!A525</f>
        <v>Pleasant Hill</v>
      </c>
      <c r="AL525" s="15" t="str">
        <f t="shared" si="22"/>
        <v>Pleasant Hill</v>
      </c>
      <c r="AM525" s="15" t="b">
        <f t="shared" si="23"/>
        <v>1</v>
      </c>
    </row>
    <row r="526" spans="1:42" s="31" customFormat="1" ht="12" customHeight="1" x14ac:dyDescent="0.2">
      <c r="A526" s="1" t="s">
        <v>244</v>
      </c>
      <c r="B526" s="1"/>
      <c r="C526" s="1" t="s">
        <v>809</v>
      </c>
      <c r="D526" s="15"/>
      <c r="E526" s="77">
        <v>2839.4</v>
      </c>
      <c r="F526" s="77"/>
      <c r="G526" s="77">
        <v>0</v>
      </c>
      <c r="H526" s="77"/>
      <c r="I526" s="77">
        <v>12517.07</v>
      </c>
      <c r="J526" s="77"/>
      <c r="K526" s="77">
        <v>0</v>
      </c>
      <c r="L526" s="77"/>
      <c r="M526" s="77">
        <v>0</v>
      </c>
      <c r="N526" s="77"/>
      <c r="O526" s="77">
        <v>0</v>
      </c>
      <c r="P526" s="77"/>
      <c r="Q526" s="77">
        <v>38.33</v>
      </c>
      <c r="R526" s="77"/>
      <c r="S526" s="77">
        <v>5114.91</v>
      </c>
      <c r="T526" s="77"/>
      <c r="U526" s="77">
        <v>0</v>
      </c>
      <c r="V526" s="77"/>
      <c r="W526" s="77">
        <v>0</v>
      </c>
      <c r="X526" s="77"/>
      <c r="Y526" s="77">
        <v>0</v>
      </c>
      <c r="Z526" s="77"/>
      <c r="AA526" s="77">
        <v>0</v>
      </c>
      <c r="AB526" s="77"/>
      <c r="AC526" s="77">
        <v>0</v>
      </c>
      <c r="AD526" s="77"/>
      <c r="AE526" s="77">
        <v>0</v>
      </c>
      <c r="AF526" s="77"/>
      <c r="AG526" s="77">
        <v>0</v>
      </c>
      <c r="AH526" s="77"/>
      <c r="AI526" s="77">
        <f t="shared" si="21"/>
        <v>20509.71</v>
      </c>
      <c r="AJ526" s="24"/>
      <c r="AK526" s="15" t="str">
        <f>'Gen Rev'!A526</f>
        <v>Pleasant Plain</v>
      </c>
      <c r="AL526" s="15" t="str">
        <f t="shared" si="22"/>
        <v>Pleasant Plain</v>
      </c>
      <c r="AM526" s="15" t="b">
        <f t="shared" si="23"/>
        <v>1</v>
      </c>
      <c r="AN526" s="15"/>
      <c r="AO526" s="15"/>
      <c r="AP526" s="15"/>
    </row>
    <row r="527" spans="1:42" ht="12" customHeight="1" x14ac:dyDescent="0.2">
      <c r="A527" s="1" t="s">
        <v>64</v>
      </c>
      <c r="B527" s="1"/>
      <c r="C527" s="1" t="s">
        <v>756</v>
      </c>
      <c r="E527" s="77">
        <v>62700.27</v>
      </c>
      <c r="F527" s="77"/>
      <c r="G527" s="77">
        <v>0</v>
      </c>
      <c r="H527" s="77"/>
      <c r="I527" s="77">
        <v>65129.46</v>
      </c>
      <c r="J527" s="77"/>
      <c r="K527" s="77">
        <v>0</v>
      </c>
      <c r="L527" s="77"/>
      <c r="M527" s="77">
        <v>22317.82</v>
      </c>
      <c r="N527" s="77"/>
      <c r="O527" s="77">
        <v>6555.64</v>
      </c>
      <c r="P527" s="77"/>
      <c r="Q527" s="77">
        <v>0.69</v>
      </c>
      <c r="R527" s="77"/>
      <c r="S527" s="77">
        <v>3072.04</v>
      </c>
      <c r="T527" s="77"/>
      <c r="U527" s="77">
        <v>0</v>
      </c>
      <c r="V527" s="77"/>
      <c r="W527" s="77">
        <v>0</v>
      </c>
      <c r="X527" s="77"/>
      <c r="Y527" s="77">
        <v>0</v>
      </c>
      <c r="Z527" s="77"/>
      <c r="AA527" s="77">
        <v>4146.76</v>
      </c>
      <c r="AB527" s="77"/>
      <c r="AC527" s="77">
        <v>0</v>
      </c>
      <c r="AD527" s="77"/>
      <c r="AE527" s="77">
        <v>0</v>
      </c>
      <c r="AF527" s="77"/>
      <c r="AG527" s="77">
        <v>300</v>
      </c>
      <c r="AH527" s="77"/>
      <c r="AI527" s="77">
        <f t="shared" si="21"/>
        <v>164222.68000000002</v>
      </c>
      <c r="AJ527" s="24"/>
      <c r="AK527" s="15" t="str">
        <f>'Gen Rev'!A527</f>
        <v>Pleasantville</v>
      </c>
      <c r="AL527" s="15" t="str">
        <f t="shared" si="22"/>
        <v>Pleasantville</v>
      </c>
      <c r="AM527" s="15" t="b">
        <f t="shared" si="23"/>
        <v>1</v>
      </c>
    </row>
    <row r="528" spans="1:42" s="31" customFormat="1" ht="12" customHeight="1" x14ac:dyDescent="0.2">
      <c r="A528" s="1" t="s">
        <v>209</v>
      </c>
      <c r="B528" s="1"/>
      <c r="C528" s="1" t="s">
        <v>798</v>
      </c>
      <c r="D528" s="15"/>
      <c r="E528" s="77">
        <v>285669.90000000002</v>
      </c>
      <c r="F528" s="77"/>
      <c r="G528" s="77">
        <v>0</v>
      </c>
      <c r="H528" s="77"/>
      <c r="I528" s="77">
        <v>244887.67</v>
      </c>
      <c r="J528" s="77"/>
      <c r="K528" s="77">
        <v>0</v>
      </c>
      <c r="L528" s="77"/>
      <c r="M528" s="77">
        <v>40461.54</v>
      </c>
      <c r="N528" s="77"/>
      <c r="O528" s="77">
        <v>44598.720000000001</v>
      </c>
      <c r="P528" s="77"/>
      <c r="Q528" s="77">
        <v>1636.41</v>
      </c>
      <c r="R528" s="77"/>
      <c r="S528" s="77">
        <v>71613.149999999994</v>
      </c>
      <c r="T528" s="77"/>
      <c r="U528" s="77">
        <v>0</v>
      </c>
      <c r="V528" s="77"/>
      <c r="W528" s="77">
        <v>0</v>
      </c>
      <c r="X528" s="77"/>
      <c r="Y528" s="77">
        <v>27415.79</v>
      </c>
      <c r="Z528" s="77"/>
      <c r="AA528" s="77">
        <v>330239.40999999997</v>
      </c>
      <c r="AB528" s="77"/>
      <c r="AC528" s="77">
        <v>0</v>
      </c>
      <c r="AD528" s="77"/>
      <c r="AE528" s="77">
        <v>118606.27</v>
      </c>
      <c r="AF528" s="77"/>
      <c r="AG528" s="77">
        <v>0</v>
      </c>
      <c r="AH528" s="77"/>
      <c r="AI528" s="77">
        <f t="shared" si="21"/>
        <v>1165128.8600000001</v>
      </c>
      <c r="AJ528" s="24"/>
      <c r="AK528" s="15" t="str">
        <f>'Gen Rev'!A528</f>
        <v>Plymouth</v>
      </c>
      <c r="AL528" s="15" t="str">
        <f t="shared" si="22"/>
        <v>Plymouth</v>
      </c>
      <c r="AM528" s="15" t="b">
        <f t="shared" si="23"/>
        <v>1</v>
      </c>
      <c r="AN528" s="32"/>
      <c r="AO528" s="32"/>
      <c r="AP528" s="32"/>
    </row>
    <row r="529" spans="1:42" s="31" customFormat="1" ht="12" customHeight="1" x14ac:dyDescent="0.2">
      <c r="A529" s="1" t="s">
        <v>146</v>
      </c>
      <c r="B529" s="1"/>
      <c r="C529" s="1" t="s">
        <v>779</v>
      </c>
      <c r="D529" s="15"/>
      <c r="E529" s="77">
        <v>430187.1</v>
      </c>
      <c r="F529" s="77"/>
      <c r="G529" s="77">
        <v>0</v>
      </c>
      <c r="H529" s="77"/>
      <c r="I529" s="77">
        <v>470522.24</v>
      </c>
      <c r="J529" s="77"/>
      <c r="K529" s="77">
        <v>608.79999999999995</v>
      </c>
      <c r="L529" s="77"/>
      <c r="M529" s="77">
        <v>0</v>
      </c>
      <c r="N529" s="77"/>
      <c r="O529" s="77">
        <v>202776.67</v>
      </c>
      <c r="P529" s="77"/>
      <c r="Q529" s="77">
        <v>24776.85</v>
      </c>
      <c r="R529" s="77"/>
      <c r="S529" s="77">
        <v>15603.95</v>
      </c>
      <c r="T529" s="77"/>
      <c r="U529" s="77">
        <v>0</v>
      </c>
      <c r="V529" s="77"/>
      <c r="W529" s="77">
        <v>0</v>
      </c>
      <c r="X529" s="77"/>
      <c r="Y529" s="77">
        <v>0</v>
      </c>
      <c r="Z529" s="77"/>
      <c r="AA529" s="77">
        <v>8002.44</v>
      </c>
      <c r="AB529" s="77"/>
      <c r="AC529" s="77">
        <v>0</v>
      </c>
      <c r="AD529" s="77"/>
      <c r="AE529" s="77">
        <v>0</v>
      </c>
      <c r="AF529" s="77"/>
      <c r="AG529" s="77">
        <v>0</v>
      </c>
      <c r="AH529" s="77"/>
      <c r="AI529" s="77">
        <f t="shared" si="21"/>
        <v>1152478.05</v>
      </c>
      <c r="AJ529" s="24"/>
      <c r="AK529" s="15" t="str">
        <f>'Gen Rev'!A529</f>
        <v>Poland</v>
      </c>
      <c r="AL529" s="15" t="str">
        <f t="shared" si="22"/>
        <v>Poland</v>
      </c>
      <c r="AM529" s="15" t="b">
        <f t="shared" si="23"/>
        <v>1</v>
      </c>
      <c r="AN529" s="32"/>
      <c r="AO529" s="32"/>
      <c r="AP529" s="32"/>
    </row>
    <row r="530" spans="1:42" s="31" customFormat="1" ht="12" customHeight="1" x14ac:dyDescent="0.2">
      <c r="A530" s="1" t="s">
        <v>678</v>
      </c>
      <c r="B530" s="1"/>
      <c r="C530" s="1" t="s">
        <v>666</v>
      </c>
      <c r="D530" s="15"/>
      <c r="E530" s="77">
        <v>8478.34</v>
      </c>
      <c r="F530" s="77"/>
      <c r="G530" s="77">
        <v>0</v>
      </c>
      <c r="H530" s="77"/>
      <c r="I530" s="77">
        <v>44413.53</v>
      </c>
      <c r="J530" s="77"/>
      <c r="K530" s="77">
        <v>0</v>
      </c>
      <c r="L530" s="77"/>
      <c r="M530" s="77">
        <v>3135</v>
      </c>
      <c r="N530" s="77"/>
      <c r="O530" s="77">
        <v>300</v>
      </c>
      <c r="P530" s="77"/>
      <c r="Q530" s="77">
        <v>26.72</v>
      </c>
      <c r="R530" s="77"/>
      <c r="S530" s="77">
        <v>3385.93</v>
      </c>
      <c r="T530" s="77"/>
      <c r="U530" s="77">
        <v>0</v>
      </c>
      <c r="V530" s="77"/>
      <c r="W530" s="77">
        <v>0</v>
      </c>
      <c r="X530" s="77"/>
      <c r="Y530" s="77">
        <v>0</v>
      </c>
      <c r="Z530" s="77"/>
      <c r="AA530" s="77">
        <v>0</v>
      </c>
      <c r="AB530" s="77"/>
      <c r="AC530" s="77">
        <v>0</v>
      </c>
      <c r="AD530" s="77"/>
      <c r="AE530" s="77">
        <v>0</v>
      </c>
      <c r="AF530" s="77"/>
      <c r="AG530" s="77">
        <v>0</v>
      </c>
      <c r="AH530" s="77"/>
      <c r="AI530" s="77">
        <f t="shared" si="21"/>
        <v>59739.519999999997</v>
      </c>
      <c r="AJ530" s="24"/>
      <c r="AK530" s="15" t="str">
        <f>'Gen Rev'!A530</f>
        <v>Polk</v>
      </c>
      <c r="AL530" s="15" t="str">
        <f t="shared" si="22"/>
        <v>Polk</v>
      </c>
      <c r="AM530" s="15" t="b">
        <f t="shared" si="23"/>
        <v>1</v>
      </c>
    </row>
    <row r="531" spans="1:42" s="31" customFormat="1" ht="12" customHeight="1" x14ac:dyDescent="0.2">
      <c r="A531" s="24"/>
      <c r="B531" s="24"/>
      <c r="C531" s="24"/>
      <c r="D531" s="24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24"/>
      <c r="AK531" s="15"/>
      <c r="AL531" s="15"/>
      <c r="AM531" s="15"/>
      <c r="AN531" s="29"/>
      <c r="AO531" s="29"/>
      <c r="AP531" s="29"/>
    </row>
    <row r="532" spans="1:42" s="31" customFormat="1" ht="12" customHeight="1" x14ac:dyDescent="0.2">
      <c r="A532" s="24"/>
      <c r="B532" s="24"/>
      <c r="C532" s="24"/>
      <c r="D532" s="24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 t="s">
        <v>850</v>
      </c>
      <c r="AJ532" s="24"/>
      <c r="AK532" s="15"/>
      <c r="AL532" s="15"/>
      <c r="AM532" s="15"/>
      <c r="AN532" s="29"/>
      <c r="AO532" s="29"/>
      <c r="AP532" s="29"/>
    </row>
    <row r="533" spans="1:42" s="31" customFormat="1" ht="12" customHeight="1" x14ac:dyDescent="0.2">
      <c r="A533" s="24"/>
      <c r="B533" s="24"/>
      <c r="C533" s="24"/>
      <c r="D533" s="24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24"/>
      <c r="AK533" s="15"/>
      <c r="AL533" s="15"/>
      <c r="AM533" s="15"/>
      <c r="AN533" s="29"/>
      <c r="AO533" s="29"/>
      <c r="AP533" s="29"/>
    </row>
    <row r="534" spans="1:42" ht="12" customHeight="1" x14ac:dyDescent="0.2">
      <c r="A534" s="1" t="s">
        <v>157</v>
      </c>
      <c r="B534" s="1"/>
      <c r="C534" s="1" t="s">
        <v>782</v>
      </c>
      <c r="E534" s="89">
        <v>129807.1</v>
      </c>
      <c r="F534" s="89"/>
      <c r="G534" s="89">
        <v>379442.53</v>
      </c>
      <c r="H534" s="89"/>
      <c r="I534" s="89">
        <v>1167960.6000000001</v>
      </c>
      <c r="J534" s="89"/>
      <c r="K534" s="89">
        <v>32289.87</v>
      </c>
      <c r="L534" s="89"/>
      <c r="M534" s="89">
        <v>59255.03</v>
      </c>
      <c r="N534" s="89"/>
      <c r="O534" s="89">
        <v>178819.41</v>
      </c>
      <c r="P534" s="89"/>
      <c r="Q534" s="89">
        <v>593.23</v>
      </c>
      <c r="R534" s="89"/>
      <c r="S534" s="89">
        <v>20666.22</v>
      </c>
      <c r="T534" s="89"/>
      <c r="U534" s="89">
        <v>0</v>
      </c>
      <c r="V534" s="89"/>
      <c r="W534" s="89">
        <v>0</v>
      </c>
      <c r="X534" s="89"/>
      <c r="Y534" s="89">
        <v>20250</v>
      </c>
      <c r="Z534" s="89"/>
      <c r="AA534" s="89">
        <v>8350</v>
      </c>
      <c r="AB534" s="89"/>
      <c r="AC534" s="89">
        <v>1000</v>
      </c>
      <c r="AD534" s="89"/>
      <c r="AE534" s="89">
        <v>78007.94</v>
      </c>
      <c r="AF534" s="89"/>
      <c r="AG534" s="89">
        <v>0</v>
      </c>
      <c r="AH534" s="89"/>
      <c r="AI534" s="89">
        <f t="shared" si="21"/>
        <v>2076441.93</v>
      </c>
      <c r="AJ534" s="24"/>
      <c r="AK534" s="15" t="str">
        <f>'Gen Rev'!A534</f>
        <v>Pomeroy</v>
      </c>
      <c r="AL534" s="15" t="str">
        <f t="shared" si="22"/>
        <v>Pomeroy</v>
      </c>
      <c r="AM534" s="15" t="b">
        <f t="shared" si="23"/>
        <v>1</v>
      </c>
    </row>
    <row r="535" spans="1:42" ht="12" customHeight="1" x14ac:dyDescent="0.2">
      <c r="A535" s="15" t="s">
        <v>895</v>
      </c>
      <c r="C535" s="15" t="s">
        <v>536</v>
      </c>
      <c r="E535" s="77">
        <v>8486</v>
      </c>
      <c r="F535" s="77"/>
      <c r="G535" s="77">
        <f>19029+14504+1176</f>
        <v>34709</v>
      </c>
      <c r="H535" s="77"/>
      <c r="I535" s="77">
        <v>0</v>
      </c>
      <c r="J535" s="77"/>
      <c r="K535" s="77">
        <v>6950</v>
      </c>
      <c r="L535" s="77"/>
      <c r="M535" s="77">
        <v>8293</v>
      </c>
      <c r="N535" s="77"/>
      <c r="O535" s="77">
        <f>381+9</f>
        <v>390</v>
      </c>
      <c r="P535" s="77"/>
      <c r="Q535" s="77">
        <v>0</v>
      </c>
      <c r="R535" s="77"/>
      <c r="S535" s="77">
        <v>12171</v>
      </c>
      <c r="T535" s="77"/>
      <c r="U535" s="77">
        <v>0</v>
      </c>
      <c r="V535" s="77"/>
      <c r="W535" s="77">
        <v>0</v>
      </c>
      <c r="X535" s="77"/>
      <c r="Y535" s="77">
        <v>0</v>
      </c>
      <c r="Z535" s="77"/>
      <c r="AA535" s="77">
        <v>0</v>
      </c>
      <c r="AB535" s="77"/>
      <c r="AC535" s="77">
        <v>0</v>
      </c>
      <c r="AD535" s="77"/>
      <c r="AE535" s="77">
        <v>0</v>
      </c>
      <c r="AF535" s="77"/>
      <c r="AG535" s="77">
        <v>0</v>
      </c>
      <c r="AH535" s="77"/>
      <c r="AI535" s="77">
        <f t="shared" si="21"/>
        <v>70999</v>
      </c>
      <c r="AJ535" s="24"/>
      <c r="AK535" s="15" t="str">
        <f>'Gen Rev'!A535</f>
        <v>Port Jefferson</v>
      </c>
      <c r="AL535" s="15" t="str">
        <f t="shared" si="22"/>
        <v>Port Jefferson</v>
      </c>
      <c r="AM535" s="15" t="b">
        <f t="shared" si="23"/>
        <v>1</v>
      </c>
    </row>
    <row r="536" spans="1:42" s="29" customFormat="1" ht="12" customHeight="1" x14ac:dyDescent="0.2">
      <c r="A536" s="1" t="s">
        <v>679</v>
      </c>
      <c r="B536" s="1"/>
      <c r="C536" s="1" t="s">
        <v>560</v>
      </c>
      <c r="D536" s="15"/>
      <c r="E536" s="77">
        <v>20814.52</v>
      </c>
      <c r="F536" s="77"/>
      <c r="G536" s="77">
        <v>72399.710000000006</v>
      </c>
      <c r="H536" s="77"/>
      <c r="I536" s="77">
        <v>43890.9</v>
      </c>
      <c r="J536" s="77"/>
      <c r="K536" s="77">
        <v>200</v>
      </c>
      <c r="L536" s="77"/>
      <c r="M536" s="77">
        <v>320</v>
      </c>
      <c r="N536" s="77"/>
      <c r="O536" s="77">
        <v>12045.1</v>
      </c>
      <c r="P536" s="77"/>
      <c r="Q536" s="77">
        <v>80.75</v>
      </c>
      <c r="R536" s="77"/>
      <c r="S536" s="77">
        <v>83.74</v>
      </c>
      <c r="T536" s="77"/>
      <c r="U536" s="77">
        <v>0</v>
      </c>
      <c r="V536" s="77"/>
      <c r="W536" s="77">
        <v>0</v>
      </c>
      <c r="X536" s="77"/>
      <c r="Y536" s="77">
        <v>0</v>
      </c>
      <c r="Z536" s="77"/>
      <c r="AA536" s="77">
        <v>0</v>
      </c>
      <c r="AB536" s="77"/>
      <c r="AC536" s="77">
        <v>0</v>
      </c>
      <c r="AD536" s="77"/>
      <c r="AE536" s="77">
        <v>0</v>
      </c>
      <c r="AF536" s="77"/>
      <c r="AG536" s="77">
        <v>0</v>
      </c>
      <c r="AH536" s="77"/>
      <c r="AI536" s="77">
        <f t="shared" si="21"/>
        <v>149834.72</v>
      </c>
      <c r="AJ536" s="24"/>
      <c r="AK536" s="15" t="str">
        <f>'Gen Rev'!A536</f>
        <v>Port Washington</v>
      </c>
      <c r="AL536" s="15" t="str">
        <f t="shared" si="22"/>
        <v>Port Washington</v>
      </c>
      <c r="AM536" s="15" t="b">
        <f t="shared" si="23"/>
        <v>1</v>
      </c>
      <c r="AN536" s="31"/>
      <c r="AO536" s="31"/>
      <c r="AP536" s="31"/>
    </row>
    <row r="537" spans="1:42" ht="12" customHeight="1" x14ac:dyDescent="0.2">
      <c r="A537" s="1" t="s">
        <v>303</v>
      </c>
      <c r="B537" s="1"/>
      <c r="C537" s="1" t="s">
        <v>299</v>
      </c>
      <c r="E537" s="77">
        <v>18907.47</v>
      </c>
      <c r="F537" s="77"/>
      <c r="G537" s="77">
        <v>0</v>
      </c>
      <c r="H537" s="77"/>
      <c r="I537" s="77">
        <v>23290.46</v>
      </c>
      <c r="J537" s="77"/>
      <c r="K537" s="77">
        <v>0</v>
      </c>
      <c r="L537" s="77"/>
      <c r="M537" s="77">
        <v>107730.31</v>
      </c>
      <c r="N537" s="77"/>
      <c r="O537" s="77">
        <v>0</v>
      </c>
      <c r="P537" s="77"/>
      <c r="Q537" s="77">
        <v>61.53</v>
      </c>
      <c r="R537" s="77"/>
      <c r="S537" s="77">
        <v>11365.28</v>
      </c>
      <c r="T537" s="77"/>
      <c r="U537" s="77">
        <v>0</v>
      </c>
      <c r="V537" s="77"/>
      <c r="W537" s="77">
        <v>0</v>
      </c>
      <c r="X537" s="77"/>
      <c r="Y537" s="77">
        <v>0</v>
      </c>
      <c r="Z537" s="77"/>
      <c r="AA537" s="77">
        <v>83794.77</v>
      </c>
      <c r="AB537" s="77"/>
      <c r="AC537" s="77">
        <v>0</v>
      </c>
      <c r="AD537" s="77"/>
      <c r="AE537" s="77">
        <v>0</v>
      </c>
      <c r="AF537" s="77"/>
      <c r="AG537" s="77">
        <v>0</v>
      </c>
      <c r="AH537" s="77"/>
      <c r="AI537" s="77">
        <f t="shared" si="21"/>
        <v>245149.82</v>
      </c>
      <c r="AJ537" s="24"/>
      <c r="AK537" s="15" t="str">
        <f>'Gen Rev'!A537</f>
        <v>Port William</v>
      </c>
      <c r="AL537" s="15" t="str">
        <f t="shared" si="22"/>
        <v>Port William</v>
      </c>
      <c r="AM537" s="15" t="b">
        <f t="shared" si="23"/>
        <v>1</v>
      </c>
      <c r="AN537" s="31"/>
      <c r="AO537" s="31"/>
      <c r="AP537" s="31"/>
    </row>
    <row r="538" spans="1:42" s="31" customFormat="1" ht="12" customHeight="1" x14ac:dyDescent="0.2">
      <c r="A538" s="1" t="s">
        <v>259</v>
      </c>
      <c r="B538" s="1"/>
      <c r="C538" s="1" t="s">
        <v>813</v>
      </c>
      <c r="D538" s="15"/>
      <c r="E538" s="77">
        <v>16240.03</v>
      </c>
      <c r="F538" s="77"/>
      <c r="G538" s="77">
        <v>64244.22</v>
      </c>
      <c r="H538" s="77"/>
      <c r="I538" s="77">
        <v>47730.96</v>
      </c>
      <c r="J538" s="77"/>
      <c r="K538" s="77">
        <v>8318.36</v>
      </c>
      <c r="L538" s="77"/>
      <c r="M538" s="77">
        <v>0</v>
      </c>
      <c r="N538" s="77"/>
      <c r="O538" s="77">
        <v>5371.16</v>
      </c>
      <c r="P538" s="77"/>
      <c r="Q538" s="77">
        <v>66.92</v>
      </c>
      <c r="R538" s="77"/>
      <c r="S538" s="77">
        <v>1468.02</v>
      </c>
      <c r="T538" s="77"/>
      <c r="U538" s="77">
        <v>0</v>
      </c>
      <c r="V538" s="77"/>
      <c r="W538" s="77">
        <v>0</v>
      </c>
      <c r="X538" s="77"/>
      <c r="Y538" s="77">
        <v>0</v>
      </c>
      <c r="Z538" s="77"/>
      <c r="AA538" s="77">
        <v>18379.59</v>
      </c>
      <c r="AB538" s="77"/>
      <c r="AC538" s="77">
        <v>0</v>
      </c>
      <c r="AD538" s="77"/>
      <c r="AE538" s="77">
        <v>0</v>
      </c>
      <c r="AF538" s="77"/>
      <c r="AG538" s="77">
        <v>0</v>
      </c>
      <c r="AH538" s="77"/>
      <c r="AI538" s="77">
        <f t="shared" si="21"/>
        <v>161819.26</v>
      </c>
      <c r="AJ538" s="24"/>
      <c r="AK538" s="15" t="str">
        <f>'Gen Rev'!A538</f>
        <v>Portage</v>
      </c>
      <c r="AL538" s="15" t="str">
        <f t="shared" si="22"/>
        <v>Portage</v>
      </c>
      <c r="AM538" s="15" t="b">
        <f t="shared" si="23"/>
        <v>1</v>
      </c>
      <c r="AN538" s="15"/>
      <c r="AO538" s="15"/>
      <c r="AP538" s="15"/>
    </row>
    <row r="539" spans="1:42" s="31" customFormat="1" ht="12" customHeight="1" x14ac:dyDescent="0.2">
      <c r="A539" s="1" t="s">
        <v>471</v>
      </c>
      <c r="B539" s="1"/>
      <c r="C539" s="1" t="s">
        <v>470</v>
      </c>
      <c r="D539" s="15"/>
      <c r="E539" s="77">
        <v>8451.49</v>
      </c>
      <c r="F539" s="77"/>
      <c r="G539" s="77">
        <v>0</v>
      </c>
      <c r="H539" s="77"/>
      <c r="I539" s="77">
        <v>28383.200000000001</v>
      </c>
      <c r="J539" s="77"/>
      <c r="K539" s="77">
        <v>0</v>
      </c>
      <c r="L539" s="77"/>
      <c r="M539" s="77">
        <v>0</v>
      </c>
      <c r="N539" s="77"/>
      <c r="O539" s="77">
        <v>1277.78</v>
      </c>
      <c r="P539" s="77"/>
      <c r="Q539" s="77">
        <v>43.3</v>
      </c>
      <c r="R539" s="77"/>
      <c r="S539" s="77">
        <v>0</v>
      </c>
      <c r="T539" s="77"/>
      <c r="U539" s="77">
        <v>0</v>
      </c>
      <c r="V539" s="77"/>
      <c r="W539" s="77">
        <v>0</v>
      </c>
      <c r="X539" s="77"/>
      <c r="Y539" s="77">
        <v>0</v>
      </c>
      <c r="Z539" s="77"/>
      <c r="AA539" s="77">
        <v>8200</v>
      </c>
      <c r="AB539" s="77"/>
      <c r="AC539" s="77">
        <v>0</v>
      </c>
      <c r="AD539" s="77"/>
      <c r="AE539" s="77">
        <v>0</v>
      </c>
      <c r="AF539" s="77"/>
      <c r="AG539" s="77">
        <v>0</v>
      </c>
      <c r="AH539" s="77"/>
      <c r="AI539" s="77">
        <f t="shared" si="21"/>
        <v>46355.770000000004</v>
      </c>
      <c r="AJ539" s="24"/>
      <c r="AK539" s="15" t="str">
        <f>'Gen Rev'!A539</f>
        <v>Potsdam</v>
      </c>
      <c r="AL539" s="15" t="str">
        <f t="shared" si="22"/>
        <v>Potsdam</v>
      </c>
      <c r="AM539" s="15" t="b">
        <f t="shared" si="23"/>
        <v>1</v>
      </c>
      <c r="AN539" s="15"/>
      <c r="AO539" s="15"/>
      <c r="AP539" s="15"/>
    </row>
    <row r="540" spans="1:42" s="31" customFormat="1" ht="12" customHeight="1" x14ac:dyDescent="0.2">
      <c r="A540" s="1" t="s">
        <v>19</v>
      </c>
      <c r="B540" s="1"/>
      <c r="C540" s="1" t="s">
        <v>741</v>
      </c>
      <c r="D540" s="15"/>
      <c r="E540" s="77">
        <v>115323.95</v>
      </c>
      <c r="F540" s="77"/>
      <c r="G540" s="77">
        <v>234346.26</v>
      </c>
      <c r="H540" s="77"/>
      <c r="I540" s="77">
        <v>225930.52</v>
      </c>
      <c r="J540" s="77"/>
      <c r="K540" s="77">
        <v>0</v>
      </c>
      <c r="L540" s="77"/>
      <c r="M540" s="77">
        <v>42781.84</v>
      </c>
      <c r="N540" s="77"/>
      <c r="O540" s="77">
        <v>16535.05</v>
      </c>
      <c r="P540" s="77"/>
      <c r="Q540" s="77">
        <v>1784.88</v>
      </c>
      <c r="R540" s="77"/>
      <c r="S540" s="77">
        <v>5027.6099999999997</v>
      </c>
      <c r="T540" s="77"/>
      <c r="U540" s="77">
        <v>0</v>
      </c>
      <c r="V540" s="77"/>
      <c r="W540" s="77">
        <v>0</v>
      </c>
      <c r="X540" s="77"/>
      <c r="Y540" s="77">
        <v>0</v>
      </c>
      <c r="Z540" s="77"/>
      <c r="AA540" s="77">
        <v>37526.81</v>
      </c>
      <c r="AB540" s="77"/>
      <c r="AC540" s="77">
        <v>1100</v>
      </c>
      <c r="AD540" s="77"/>
      <c r="AE540" s="77">
        <v>0</v>
      </c>
      <c r="AF540" s="77"/>
      <c r="AG540" s="77">
        <v>0</v>
      </c>
      <c r="AH540" s="77"/>
      <c r="AI540" s="77">
        <f t="shared" si="21"/>
        <v>680356.91999999993</v>
      </c>
      <c r="AJ540" s="24"/>
      <c r="AK540" s="15" t="str">
        <f>'Gen Rev'!A540</f>
        <v>Powhatan Point</v>
      </c>
      <c r="AL540" s="15" t="str">
        <f t="shared" si="22"/>
        <v>Powhatan Point</v>
      </c>
      <c r="AM540" s="15" t="b">
        <f t="shared" si="23"/>
        <v>1</v>
      </c>
    </row>
    <row r="541" spans="1:42" s="29" customFormat="1" ht="12" customHeight="1" x14ac:dyDescent="0.2">
      <c r="A541" s="1" t="s">
        <v>127</v>
      </c>
      <c r="B541" s="1"/>
      <c r="C541" s="1" t="s">
        <v>437</v>
      </c>
      <c r="D541" s="15"/>
      <c r="E541" s="77">
        <v>37265.72</v>
      </c>
      <c r="F541" s="77"/>
      <c r="G541" s="77">
        <v>0</v>
      </c>
      <c r="H541" s="77"/>
      <c r="I541" s="77">
        <v>54140.66</v>
      </c>
      <c r="J541" s="77"/>
      <c r="K541" s="77">
        <v>0</v>
      </c>
      <c r="L541" s="77"/>
      <c r="M541" s="77">
        <v>0</v>
      </c>
      <c r="N541" s="77"/>
      <c r="O541" s="77">
        <v>147560</v>
      </c>
      <c r="P541" s="77"/>
      <c r="Q541" s="77">
        <v>0</v>
      </c>
      <c r="R541" s="77"/>
      <c r="S541" s="77">
        <v>76029.179999999993</v>
      </c>
      <c r="T541" s="77"/>
      <c r="U541" s="77">
        <v>0</v>
      </c>
      <c r="V541" s="77"/>
      <c r="W541" s="77">
        <v>0</v>
      </c>
      <c r="X541" s="77"/>
      <c r="Y541" s="77">
        <v>0</v>
      </c>
      <c r="Z541" s="77"/>
      <c r="AA541" s="77">
        <v>0</v>
      </c>
      <c r="AB541" s="77"/>
      <c r="AC541" s="77">
        <v>0</v>
      </c>
      <c r="AD541" s="77"/>
      <c r="AE541" s="77">
        <v>0</v>
      </c>
      <c r="AF541" s="77"/>
      <c r="AG541" s="77">
        <v>0</v>
      </c>
      <c r="AH541" s="77"/>
      <c r="AI541" s="77">
        <f t="shared" si="21"/>
        <v>314995.56</v>
      </c>
      <c r="AJ541" s="24"/>
      <c r="AK541" s="15" t="str">
        <f>'Gen Rev'!A541</f>
        <v>Proctorville</v>
      </c>
      <c r="AL541" s="15" t="str">
        <f t="shared" si="22"/>
        <v>Proctorville</v>
      </c>
      <c r="AM541" s="15" t="b">
        <f t="shared" si="23"/>
        <v>1</v>
      </c>
      <c r="AN541" s="15"/>
      <c r="AO541" s="15"/>
      <c r="AP541" s="15"/>
    </row>
    <row r="542" spans="1:42" s="29" customFormat="1" ht="12" customHeight="1" x14ac:dyDescent="0.2">
      <c r="A542" s="1" t="s">
        <v>150</v>
      </c>
      <c r="B542" s="1"/>
      <c r="C542" s="1" t="s">
        <v>780</v>
      </c>
      <c r="D542" s="15"/>
      <c r="E542" s="77">
        <v>96032.14</v>
      </c>
      <c r="F542" s="77"/>
      <c r="G542" s="77">
        <v>0</v>
      </c>
      <c r="H542" s="77"/>
      <c r="I542" s="77">
        <v>66277.820000000007</v>
      </c>
      <c r="J542" s="77"/>
      <c r="K542" s="77">
        <v>0</v>
      </c>
      <c r="L542" s="77"/>
      <c r="M542" s="77">
        <v>0</v>
      </c>
      <c r="N542" s="77"/>
      <c r="O542" s="77">
        <v>7023</v>
      </c>
      <c r="P542" s="77"/>
      <c r="Q542" s="77">
        <v>410.94</v>
      </c>
      <c r="R542" s="77"/>
      <c r="S542" s="77">
        <v>15357.22</v>
      </c>
      <c r="T542" s="77"/>
      <c r="U542" s="77">
        <v>0</v>
      </c>
      <c r="V542" s="77"/>
      <c r="W542" s="77">
        <v>992.7</v>
      </c>
      <c r="X542" s="77"/>
      <c r="Y542" s="77">
        <v>0</v>
      </c>
      <c r="Z542" s="77"/>
      <c r="AA542" s="77">
        <v>14700</v>
      </c>
      <c r="AB542" s="77"/>
      <c r="AC542" s="77">
        <v>0</v>
      </c>
      <c r="AD542" s="77"/>
      <c r="AE542" s="77">
        <v>16518.71</v>
      </c>
      <c r="AF542" s="77"/>
      <c r="AG542" s="77">
        <v>0</v>
      </c>
      <c r="AH542" s="77"/>
      <c r="AI542" s="77">
        <f t="shared" ref="AI542:AI608" si="24">SUM(E542:AG542)</f>
        <v>217312.53000000003</v>
      </c>
      <c r="AJ542" s="24"/>
      <c r="AK542" s="15" t="str">
        <f>'Gen Rev'!A542</f>
        <v>Prospect</v>
      </c>
      <c r="AL542" s="15" t="str">
        <f t="shared" ref="AL542:AL608" si="25">A542</f>
        <v>Prospect</v>
      </c>
      <c r="AM542" s="15" t="b">
        <f t="shared" ref="AM542:AM608" si="26">AK542=AL542</f>
        <v>1</v>
      </c>
      <c r="AN542" s="15"/>
      <c r="AO542" s="15"/>
      <c r="AP542" s="15"/>
    </row>
    <row r="543" spans="1:42" ht="12" customHeight="1" x14ac:dyDescent="0.2">
      <c r="A543" s="1" t="s">
        <v>181</v>
      </c>
      <c r="B543" s="1"/>
      <c r="C543" s="1" t="s">
        <v>791</v>
      </c>
      <c r="E543" s="77">
        <v>746315.39</v>
      </c>
      <c r="F543" s="77"/>
      <c r="G543" s="77">
        <v>0</v>
      </c>
      <c r="H543" s="77"/>
      <c r="I543" s="77">
        <v>1547482.88</v>
      </c>
      <c r="J543" s="77"/>
      <c r="K543" s="77">
        <v>17388.5</v>
      </c>
      <c r="L543" s="77"/>
      <c r="M543" s="77">
        <v>511565.22</v>
      </c>
      <c r="N543" s="77"/>
      <c r="O543" s="77">
        <v>136525.84</v>
      </c>
      <c r="P543" s="77"/>
      <c r="Q543" s="77">
        <v>12418.94</v>
      </c>
      <c r="R543" s="77"/>
      <c r="S543" s="77">
        <v>87685.28</v>
      </c>
      <c r="T543" s="77"/>
      <c r="U543" s="77">
        <v>0</v>
      </c>
      <c r="V543" s="77"/>
      <c r="W543" s="77">
        <v>0</v>
      </c>
      <c r="X543" s="77"/>
      <c r="Y543" s="77">
        <v>0</v>
      </c>
      <c r="Z543" s="77"/>
      <c r="AA543" s="77">
        <v>6589.75</v>
      </c>
      <c r="AB543" s="77"/>
      <c r="AC543" s="77">
        <v>612763.67000000004</v>
      </c>
      <c r="AD543" s="77"/>
      <c r="AE543" s="77">
        <v>0</v>
      </c>
      <c r="AF543" s="77"/>
      <c r="AG543" s="77">
        <v>0</v>
      </c>
      <c r="AH543" s="77"/>
      <c r="AI543" s="77">
        <f t="shared" si="24"/>
        <v>3678735.4699999997</v>
      </c>
      <c r="AJ543" s="24"/>
      <c r="AK543" s="15" t="str">
        <f>'Gen Rev'!A543</f>
        <v>Put-In-Bay</v>
      </c>
      <c r="AL543" s="15" t="str">
        <f t="shared" si="25"/>
        <v>Put-In-Bay</v>
      </c>
      <c r="AM543" s="15" t="b">
        <f t="shared" si="26"/>
        <v>1</v>
      </c>
    </row>
    <row r="544" spans="1:42" ht="12" customHeight="1" x14ac:dyDescent="0.2">
      <c r="A544" s="1" t="s">
        <v>89</v>
      </c>
      <c r="B544" s="1"/>
      <c r="C544" s="1" t="s">
        <v>762</v>
      </c>
      <c r="E544" s="77">
        <v>35391.980000000003</v>
      </c>
      <c r="F544" s="77"/>
      <c r="G544" s="77">
        <v>0</v>
      </c>
      <c r="H544" s="77"/>
      <c r="I544" s="77">
        <v>34658.97</v>
      </c>
      <c r="J544" s="77"/>
      <c r="K544" s="77">
        <v>1321.43</v>
      </c>
      <c r="L544" s="77"/>
      <c r="M544" s="77">
        <v>58236.17</v>
      </c>
      <c r="N544" s="77"/>
      <c r="O544" s="77">
        <v>0</v>
      </c>
      <c r="P544" s="77"/>
      <c r="Q544" s="77">
        <v>111.86</v>
      </c>
      <c r="R544" s="77"/>
      <c r="S544" s="77">
        <v>2998.28</v>
      </c>
      <c r="T544" s="77"/>
      <c r="U544" s="77">
        <v>0</v>
      </c>
      <c r="V544" s="77"/>
      <c r="W544" s="77">
        <v>0</v>
      </c>
      <c r="X544" s="77"/>
      <c r="Y544" s="77">
        <v>2000</v>
      </c>
      <c r="Z544" s="77"/>
      <c r="AA544" s="77">
        <v>0</v>
      </c>
      <c r="AB544" s="77"/>
      <c r="AC544" s="77">
        <v>0</v>
      </c>
      <c r="AD544" s="77"/>
      <c r="AE544" s="77">
        <v>10801.68</v>
      </c>
      <c r="AF544" s="77"/>
      <c r="AG544" s="77">
        <v>0</v>
      </c>
      <c r="AH544" s="77"/>
      <c r="AI544" s="77">
        <f t="shared" si="24"/>
        <v>145520.37</v>
      </c>
      <c r="AJ544" s="24"/>
      <c r="AK544" s="15" t="str">
        <f>'Gen Rev'!A544</f>
        <v>Quaker City</v>
      </c>
      <c r="AL544" s="15" t="str">
        <f t="shared" si="25"/>
        <v>Quaker City</v>
      </c>
      <c r="AM544" s="15" t="b">
        <f t="shared" si="26"/>
        <v>1</v>
      </c>
    </row>
    <row r="545" spans="1:42" ht="12" customHeight="1" x14ac:dyDescent="0.2">
      <c r="A545" s="1" t="s">
        <v>134</v>
      </c>
      <c r="B545" s="1"/>
      <c r="C545" s="1" t="s">
        <v>775</v>
      </c>
      <c r="E545" s="77">
        <v>64300.72</v>
      </c>
      <c r="F545" s="77"/>
      <c r="G545" s="77">
        <v>59141.01</v>
      </c>
      <c r="H545" s="77"/>
      <c r="I545" s="77">
        <v>53166.44</v>
      </c>
      <c r="J545" s="77"/>
      <c r="K545" s="77">
        <v>0</v>
      </c>
      <c r="L545" s="77"/>
      <c r="M545" s="77">
        <v>7250</v>
      </c>
      <c r="N545" s="77"/>
      <c r="O545" s="77">
        <v>3387.24</v>
      </c>
      <c r="P545" s="77"/>
      <c r="Q545" s="77">
        <v>335.89</v>
      </c>
      <c r="R545" s="77"/>
      <c r="S545" s="77">
        <v>25902.94</v>
      </c>
      <c r="T545" s="77"/>
      <c r="U545" s="77">
        <v>0</v>
      </c>
      <c r="V545" s="77"/>
      <c r="W545" s="77">
        <v>0</v>
      </c>
      <c r="X545" s="77"/>
      <c r="Y545" s="77">
        <v>0</v>
      </c>
      <c r="Z545" s="77"/>
      <c r="AA545" s="77">
        <v>0</v>
      </c>
      <c r="AB545" s="77"/>
      <c r="AC545" s="77">
        <v>0</v>
      </c>
      <c r="AD545" s="77"/>
      <c r="AE545" s="77">
        <v>0</v>
      </c>
      <c r="AF545" s="77"/>
      <c r="AG545" s="77">
        <v>7833.33</v>
      </c>
      <c r="AH545" s="77"/>
      <c r="AI545" s="77">
        <f t="shared" si="24"/>
        <v>221317.57</v>
      </c>
      <c r="AJ545" s="24"/>
      <c r="AK545" s="15" t="str">
        <f>'Gen Rev'!A545</f>
        <v>Quincy</v>
      </c>
      <c r="AL545" s="15" t="str">
        <f t="shared" si="25"/>
        <v>Quincy</v>
      </c>
      <c r="AM545" s="15" t="b">
        <f t="shared" si="26"/>
        <v>1</v>
      </c>
      <c r="AN545" s="30"/>
      <c r="AO545" s="30"/>
      <c r="AP545" s="30"/>
    </row>
    <row r="546" spans="1:42" ht="12" customHeight="1" x14ac:dyDescent="0.2">
      <c r="A546" s="1" t="s">
        <v>158</v>
      </c>
      <c r="B546" s="1"/>
      <c r="C546" s="1" t="s">
        <v>782</v>
      </c>
      <c r="E546" s="77">
        <v>73164.899999999994</v>
      </c>
      <c r="F546" s="77"/>
      <c r="G546" s="77">
        <v>0</v>
      </c>
      <c r="H546" s="77"/>
      <c r="I546" s="77">
        <v>48525.82</v>
      </c>
      <c r="J546" s="77"/>
      <c r="K546" s="77">
        <v>0</v>
      </c>
      <c r="L546" s="77"/>
      <c r="M546" s="77">
        <v>65368.02</v>
      </c>
      <c r="N546" s="77"/>
      <c r="O546" s="77">
        <v>3069</v>
      </c>
      <c r="P546" s="77"/>
      <c r="Q546" s="77">
        <v>613.83000000000004</v>
      </c>
      <c r="R546" s="77"/>
      <c r="S546" s="77">
        <v>54810.96</v>
      </c>
      <c r="T546" s="77"/>
      <c r="U546" s="77">
        <v>0</v>
      </c>
      <c r="V546" s="77"/>
      <c r="W546" s="77">
        <v>0</v>
      </c>
      <c r="X546" s="77"/>
      <c r="Y546" s="77">
        <v>0</v>
      </c>
      <c r="Z546" s="77"/>
      <c r="AA546" s="77">
        <v>0</v>
      </c>
      <c r="AB546" s="77"/>
      <c r="AC546" s="77">
        <v>0</v>
      </c>
      <c r="AD546" s="77"/>
      <c r="AE546" s="77">
        <v>0</v>
      </c>
      <c r="AF546" s="77"/>
      <c r="AG546" s="77">
        <v>0</v>
      </c>
      <c r="AH546" s="77"/>
      <c r="AI546" s="77">
        <f t="shared" si="24"/>
        <v>245552.52999999997</v>
      </c>
      <c r="AJ546" s="24"/>
      <c r="AK546" s="15" t="str">
        <f>'Gen Rev'!A546</f>
        <v>Racine</v>
      </c>
      <c r="AL546" s="15" t="str">
        <f t="shared" si="25"/>
        <v>Racine</v>
      </c>
      <c r="AM546" s="15" t="b">
        <f t="shared" si="26"/>
        <v>1</v>
      </c>
    </row>
    <row r="547" spans="1:42" ht="12" hidden="1" customHeight="1" x14ac:dyDescent="0.2">
      <c r="A547" s="1" t="s">
        <v>530</v>
      </c>
      <c r="B547" s="1"/>
      <c r="C547" s="1" t="s">
        <v>529</v>
      </c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>
        <f t="shared" si="24"/>
        <v>0</v>
      </c>
      <c r="AJ547" s="24"/>
      <c r="AK547" s="15" t="str">
        <f>'Gen Rev'!A547</f>
        <v>Rarden</v>
      </c>
      <c r="AL547" s="15" t="str">
        <f t="shared" si="25"/>
        <v>Rarden</v>
      </c>
      <c r="AM547" s="15" t="b">
        <f t="shared" si="26"/>
        <v>1</v>
      </c>
    </row>
    <row r="548" spans="1:42" ht="12" customHeight="1" x14ac:dyDescent="0.2">
      <c r="A548" s="1" t="s">
        <v>392</v>
      </c>
      <c r="B548" s="1"/>
      <c r="C548" s="1" t="s">
        <v>388</v>
      </c>
      <c r="E548" s="77">
        <v>12389.68</v>
      </c>
      <c r="F548" s="77"/>
      <c r="G548" s="77">
        <v>0</v>
      </c>
      <c r="H548" s="77"/>
      <c r="I548" s="77">
        <v>396915.53</v>
      </c>
      <c r="J548" s="77"/>
      <c r="K548" s="77">
        <v>78492.649999999994</v>
      </c>
      <c r="L548" s="77"/>
      <c r="M548" s="77">
        <v>355</v>
      </c>
      <c r="N548" s="77"/>
      <c r="O548" s="77">
        <v>0</v>
      </c>
      <c r="P548" s="77"/>
      <c r="Q548" s="77">
        <v>218.37</v>
      </c>
      <c r="R548" s="77"/>
      <c r="S548" s="77">
        <v>23694.47</v>
      </c>
      <c r="T548" s="77"/>
      <c r="U548" s="77">
        <v>0</v>
      </c>
      <c r="V548" s="77"/>
      <c r="W548" s="77">
        <v>0</v>
      </c>
      <c r="X548" s="77"/>
      <c r="Y548" s="77">
        <v>0</v>
      </c>
      <c r="Z548" s="77"/>
      <c r="AA548" s="77">
        <v>0</v>
      </c>
      <c r="AB548" s="77"/>
      <c r="AC548" s="77">
        <v>0</v>
      </c>
      <c r="AD548" s="77"/>
      <c r="AE548" s="77">
        <v>0</v>
      </c>
      <c r="AF548" s="77"/>
      <c r="AG548" s="77">
        <v>0</v>
      </c>
      <c r="AH548" s="77"/>
      <c r="AI548" s="77">
        <f t="shared" si="24"/>
        <v>512065.69999999995</v>
      </c>
      <c r="AJ548" s="24"/>
      <c r="AK548" s="15" t="str">
        <f>'Gen Rev'!A548</f>
        <v>Rawson</v>
      </c>
      <c r="AL548" s="15" t="str">
        <f t="shared" si="25"/>
        <v>Rawson</v>
      </c>
      <c r="AM548" s="15" t="b">
        <f t="shared" si="26"/>
        <v>1</v>
      </c>
      <c r="AN548" s="31"/>
      <c r="AO548" s="31"/>
      <c r="AP548" s="31"/>
    </row>
    <row r="549" spans="1:42" s="31" customFormat="1" ht="12" customHeight="1" x14ac:dyDescent="0.2">
      <c r="A549" s="15" t="s">
        <v>945</v>
      </c>
      <c r="B549" s="15"/>
      <c r="C549" s="15" t="s">
        <v>770</v>
      </c>
      <c r="D549" s="15"/>
      <c r="E549" s="77">
        <v>20859</v>
      </c>
      <c r="F549" s="77"/>
      <c r="G549" s="77">
        <v>0</v>
      </c>
      <c r="H549" s="77"/>
      <c r="I549" s="77">
        <v>43146</v>
      </c>
      <c r="J549" s="77"/>
      <c r="K549" s="77">
        <v>0</v>
      </c>
      <c r="L549" s="77"/>
      <c r="M549" s="77">
        <v>1809</v>
      </c>
      <c r="N549" s="77"/>
      <c r="O549" s="77">
        <v>8554</v>
      </c>
      <c r="P549" s="77"/>
      <c r="Q549" s="77">
        <v>0</v>
      </c>
      <c r="R549" s="77"/>
      <c r="S549" s="77">
        <v>10283</v>
      </c>
      <c r="T549" s="77"/>
      <c r="U549" s="77">
        <v>0</v>
      </c>
      <c r="V549" s="77"/>
      <c r="W549" s="77">
        <v>0</v>
      </c>
      <c r="X549" s="77"/>
      <c r="Y549" s="77">
        <v>1600</v>
      </c>
      <c r="Z549" s="77"/>
      <c r="AA549" s="77">
        <v>0</v>
      </c>
      <c r="AB549" s="77"/>
      <c r="AC549" s="77">
        <v>0</v>
      </c>
      <c r="AD549" s="77"/>
      <c r="AE549" s="77">
        <v>0</v>
      </c>
      <c r="AF549" s="77"/>
      <c r="AG549" s="77">
        <v>0</v>
      </c>
      <c r="AH549" s="77"/>
      <c r="AI549" s="77">
        <f t="shared" si="24"/>
        <v>86251</v>
      </c>
      <c r="AJ549" s="24"/>
      <c r="AK549" s="15" t="str">
        <f>'Gen Rev'!A549</f>
        <v>Rayland</v>
      </c>
      <c r="AL549" s="15" t="str">
        <f t="shared" si="25"/>
        <v>Rayland</v>
      </c>
      <c r="AM549" s="15" t="b">
        <f t="shared" si="26"/>
        <v>1</v>
      </c>
    </row>
    <row r="550" spans="1:42" s="31" customFormat="1" ht="12" customHeight="1" x14ac:dyDescent="0.2">
      <c r="A550" s="1" t="s">
        <v>228</v>
      </c>
      <c r="B550" s="1"/>
      <c r="C550" s="1" t="s">
        <v>549</v>
      </c>
      <c r="D550" s="15"/>
      <c r="E550" s="77">
        <v>440956.57</v>
      </c>
      <c r="F550" s="77"/>
      <c r="G550" s="77">
        <v>1700400.46</v>
      </c>
      <c r="H550" s="77"/>
      <c r="I550" s="77">
        <v>345179.1</v>
      </c>
      <c r="J550" s="77"/>
      <c r="K550" s="77">
        <v>55065.11</v>
      </c>
      <c r="L550" s="77"/>
      <c r="M550" s="77">
        <v>37494.46</v>
      </c>
      <c r="N550" s="77"/>
      <c r="O550" s="77">
        <v>245104.11</v>
      </c>
      <c r="P550" s="77"/>
      <c r="Q550" s="77">
        <v>564.87</v>
      </c>
      <c r="R550" s="77"/>
      <c r="S550" s="77">
        <v>542315.18000000005</v>
      </c>
      <c r="T550" s="77"/>
      <c r="U550" s="77">
        <v>0</v>
      </c>
      <c r="V550" s="77"/>
      <c r="W550" s="77">
        <v>0</v>
      </c>
      <c r="X550" s="77"/>
      <c r="Y550" s="77">
        <v>0</v>
      </c>
      <c r="Z550" s="77"/>
      <c r="AA550" s="77">
        <v>472768.58</v>
      </c>
      <c r="AB550" s="77"/>
      <c r="AC550" s="77">
        <v>347803.95</v>
      </c>
      <c r="AD550" s="77"/>
      <c r="AE550" s="77">
        <v>0</v>
      </c>
      <c r="AF550" s="77"/>
      <c r="AG550" s="77">
        <f>50771.7+3024.51</f>
        <v>53796.21</v>
      </c>
      <c r="AH550" s="77"/>
      <c r="AI550" s="77">
        <f t="shared" si="24"/>
        <v>4241448.6000000006</v>
      </c>
      <c r="AJ550" s="24"/>
      <c r="AK550" s="15" t="str">
        <f>'Gen Rev'!A550</f>
        <v>Reminderville</v>
      </c>
      <c r="AL550" s="15" t="str">
        <f t="shared" si="25"/>
        <v>Reminderville</v>
      </c>
      <c r="AM550" s="15" t="b">
        <f t="shared" si="26"/>
        <v>1</v>
      </c>
    </row>
    <row r="551" spans="1:42" ht="12" customHeight="1" x14ac:dyDescent="0.2">
      <c r="A551" s="1" t="s">
        <v>969</v>
      </c>
      <c r="B551" s="1"/>
      <c r="C551" s="1" t="s">
        <v>500</v>
      </c>
      <c r="E551" s="77">
        <v>311.08999999999997</v>
      </c>
      <c r="F551" s="77"/>
      <c r="G551" s="77">
        <v>0</v>
      </c>
      <c r="H551" s="77"/>
      <c r="I551" s="77">
        <v>17089.09</v>
      </c>
      <c r="J551" s="77"/>
      <c r="K551" s="77">
        <v>0</v>
      </c>
      <c r="L551" s="77"/>
      <c r="M551" s="77">
        <v>0</v>
      </c>
      <c r="N551" s="77"/>
      <c r="O551" s="77">
        <v>0</v>
      </c>
      <c r="P551" s="77"/>
      <c r="Q551" s="77">
        <v>17.350000000000001</v>
      </c>
      <c r="R551" s="77"/>
      <c r="S551" s="77">
        <v>1022.9</v>
      </c>
      <c r="T551" s="77"/>
      <c r="U551" s="77">
        <v>0</v>
      </c>
      <c r="V551" s="77"/>
      <c r="W551" s="77">
        <v>0</v>
      </c>
      <c r="X551" s="77"/>
      <c r="Y551" s="77">
        <v>0</v>
      </c>
      <c r="Z551" s="77"/>
      <c r="AA551" s="77">
        <v>0</v>
      </c>
      <c r="AB551" s="77"/>
      <c r="AC551" s="77">
        <v>0</v>
      </c>
      <c r="AD551" s="77"/>
      <c r="AE551" s="77">
        <v>0</v>
      </c>
      <c r="AF551" s="77"/>
      <c r="AG551" s="77">
        <v>0</v>
      </c>
      <c r="AH551" s="77"/>
      <c r="AI551" s="77">
        <f t="shared" si="24"/>
        <v>18440.43</v>
      </c>
      <c r="AJ551" s="24"/>
      <c r="AK551" s="15" t="str">
        <f>'Gen Rev'!A551</f>
        <v>Rendville</v>
      </c>
      <c r="AL551" s="15" t="str">
        <f t="shared" si="25"/>
        <v>Rendville</v>
      </c>
      <c r="AM551" s="15" t="b">
        <f t="shared" si="26"/>
        <v>1</v>
      </c>
    </row>
    <row r="552" spans="1:42" ht="12" customHeight="1" x14ac:dyDescent="0.2">
      <c r="A552" s="1" t="s">
        <v>534</v>
      </c>
      <c r="B552" s="1"/>
      <c r="C552" s="1" t="s">
        <v>532</v>
      </c>
      <c r="E552" s="77">
        <v>15942.65</v>
      </c>
      <c r="F552" s="77"/>
      <c r="G552" s="77">
        <v>0</v>
      </c>
      <c r="H552" s="77"/>
      <c r="I552" s="77">
        <v>78655.55</v>
      </c>
      <c r="J552" s="77"/>
      <c r="K552" s="77">
        <v>0</v>
      </c>
      <c r="L552" s="77"/>
      <c r="M552" s="77">
        <v>1168</v>
      </c>
      <c r="N552" s="77"/>
      <c r="O552" s="77">
        <v>23668.7</v>
      </c>
      <c r="P552" s="77"/>
      <c r="Q552" s="77">
        <v>3441.9</v>
      </c>
      <c r="R552" s="77"/>
      <c r="S552" s="77">
        <v>19014.78</v>
      </c>
      <c r="T552" s="77"/>
      <c r="U552" s="77">
        <v>0</v>
      </c>
      <c r="V552" s="77"/>
      <c r="W552" s="77">
        <v>0</v>
      </c>
      <c r="X552" s="77"/>
      <c r="Y552" s="77">
        <v>0</v>
      </c>
      <c r="Z552" s="77"/>
      <c r="AA552" s="77">
        <v>0</v>
      </c>
      <c r="AB552" s="77"/>
      <c r="AC552" s="77">
        <v>0</v>
      </c>
      <c r="AD552" s="77"/>
      <c r="AE552" s="77">
        <v>0</v>
      </c>
      <c r="AF552" s="77"/>
      <c r="AG552" s="77">
        <v>135</v>
      </c>
      <c r="AH552" s="77"/>
      <c r="AI552" s="77">
        <f t="shared" si="24"/>
        <v>142026.57999999999</v>
      </c>
      <c r="AJ552" s="24"/>
      <c r="AK552" s="15" t="str">
        <f>'Gen Rev'!A552</f>
        <v>Republic</v>
      </c>
      <c r="AL552" s="15" t="str">
        <f t="shared" si="25"/>
        <v>Republic</v>
      </c>
      <c r="AM552" s="15" t="b">
        <f t="shared" si="26"/>
        <v>1</v>
      </c>
      <c r="AN552" s="31"/>
      <c r="AO552" s="31"/>
      <c r="AP552" s="31"/>
    </row>
    <row r="553" spans="1:42" s="31" customFormat="1" ht="12" customHeight="1" x14ac:dyDescent="0.2">
      <c r="A553" s="15" t="s">
        <v>553</v>
      </c>
      <c r="B553" s="15"/>
      <c r="C553" s="15" t="s">
        <v>549</v>
      </c>
      <c r="D553" s="15"/>
      <c r="E553" s="77">
        <v>689692</v>
      </c>
      <c r="F553" s="77"/>
      <c r="G553" s="77">
        <v>7873740</v>
      </c>
      <c r="H553" s="77"/>
      <c r="I553" s="77">
        <v>1139413</v>
      </c>
      <c r="J553" s="77"/>
      <c r="K553" s="77">
        <v>472919</v>
      </c>
      <c r="L553" s="77"/>
      <c r="M553" s="77">
        <v>1448627</v>
      </c>
      <c r="N553" s="77"/>
      <c r="O553" s="77">
        <v>120449</v>
      </c>
      <c r="P553" s="77"/>
      <c r="Q553" s="77">
        <v>6453</v>
      </c>
      <c r="R553" s="77"/>
      <c r="S553" s="77">
        <f>14041+38581+48620</f>
        <v>101242</v>
      </c>
      <c r="T553" s="77"/>
      <c r="U553" s="77">
        <v>0</v>
      </c>
      <c r="V553" s="77"/>
      <c r="W553" s="77">
        <v>0</v>
      </c>
      <c r="X553" s="77"/>
      <c r="Y553" s="77">
        <v>20000</v>
      </c>
      <c r="Z553" s="77"/>
      <c r="AA553" s="77">
        <v>6313527</v>
      </c>
      <c r="AB553" s="77"/>
      <c r="AC553" s="77">
        <v>165000</v>
      </c>
      <c r="AD553" s="77"/>
      <c r="AE553" s="77">
        <v>0</v>
      </c>
      <c r="AF553" s="77"/>
      <c r="AG553" s="77">
        <v>0</v>
      </c>
      <c r="AH553" s="77"/>
      <c r="AI553" s="77">
        <f t="shared" si="24"/>
        <v>18351062</v>
      </c>
      <c r="AJ553" s="24"/>
      <c r="AK553" s="15" t="str">
        <f>'Gen Rev'!A553</f>
        <v>Richfield</v>
      </c>
      <c r="AL553" s="15" t="str">
        <f t="shared" si="25"/>
        <v>Richfield</v>
      </c>
      <c r="AM553" s="15" t="b">
        <f t="shared" si="26"/>
        <v>1</v>
      </c>
      <c r="AN553" s="15"/>
      <c r="AO553" s="15"/>
      <c r="AP553" s="15"/>
    </row>
    <row r="554" spans="1:42" s="31" customFormat="1" ht="12" customHeight="1" x14ac:dyDescent="0.2">
      <c r="A554" s="1" t="s">
        <v>119</v>
      </c>
      <c r="B554" s="1"/>
      <c r="C554" s="1" t="s">
        <v>770</v>
      </c>
      <c r="D554" s="15"/>
      <c r="E554" s="77">
        <v>29615.17</v>
      </c>
      <c r="F554" s="77"/>
      <c r="G554" s="77">
        <v>0</v>
      </c>
      <c r="H554" s="77"/>
      <c r="I554" s="77">
        <v>49345.1</v>
      </c>
      <c r="J554" s="77"/>
      <c r="K554" s="77">
        <v>0</v>
      </c>
      <c r="L554" s="77"/>
      <c r="M554" s="77">
        <v>7840</v>
      </c>
      <c r="N554" s="77"/>
      <c r="O554" s="77">
        <v>250</v>
      </c>
      <c r="P554" s="77"/>
      <c r="Q554" s="77">
        <v>56.38</v>
      </c>
      <c r="R554" s="77"/>
      <c r="S554" s="77">
        <v>105</v>
      </c>
      <c r="T554" s="77"/>
      <c r="U554" s="77">
        <v>0</v>
      </c>
      <c r="V554" s="77"/>
      <c r="W554" s="77">
        <v>0</v>
      </c>
      <c r="X554" s="77"/>
      <c r="Y554" s="77">
        <v>0</v>
      </c>
      <c r="Z554" s="77"/>
      <c r="AA554" s="77">
        <v>42527.45</v>
      </c>
      <c r="AB554" s="77"/>
      <c r="AC554" s="77">
        <v>0</v>
      </c>
      <c r="AD554" s="77"/>
      <c r="AE554" s="77">
        <v>531.07000000000005</v>
      </c>
      <c r="AF554" s="77"/>
      <c r="AG554" s="77">
        <v>0</v>
      </c>
      <c r="AH554" s="77"/>
      <c r="AI554" s="77">
        <f t="shared" si="24"/>
        <v>130270.17</v>
      </c>
      <c r="AJ554" s="24"/>
      <c r="AK554" s="15" t="str">
        <f>'Gen Rev'!A554</f>
        <v>Richmond</v>
      </c>
      <c r="AL554" s="15" t="str">
        <f t="shared" si="25"/>
        <v>Richmond</v>
      </c>
      <c r="AM554" s="15" t="b">
        <f t="shared" si="26"/>
        <v>1</v>
      </c>
    </row>
    <row r="555" spans="1:42" ht="12" customHeight="1" x14ac:dyDescent="0.2">
      <c r="A555" s="15" t="s">
        <v>238</v>
      </c>
      <c r="C555" s="15" t="s">
        <v>807</v>
      </c>
      <c r="E555" s="77">
        <v>256844</v>
      </c>
      <c r="F555" s="77"/>
      <c r="G555" s="77">
        <v>425652</v>
      </c>
      <c r="H555" s="77"/>
      <c r="I555" s="77">
        <v>115206</v>
      </c>
      <c r="J555" s="77"/>
      <c r="K555" s="77">
        <v>0</v>
      </c>
      <c r="L555" s="77"/>
      <c r="M555" s="77">
        <v>2420</v>
      </c>
      <c r="N555" s="77"/>
      <c r="O555" s="77">
        <v>9455</v>
      </c>
      <c r="P555" s="77"/>
      <c r="Q555" s="77">
        <v>5078</v>
      </c>
      <c r="R555" s="77"/>
      <c r="S555" s="77">
        <v>3888</v>
      </c>
      <c r="T555" s="77"/>
      <c r="U555" s="77">
        <v>0</v>
      </c>
      <c r="V555" s="77"/>
      <c r="W555" s="77">
        <v>0</v>
      </c>
      <c r="X555" s="77"/>
      <c r="Y555" s="77">
        <v>0</v>
      </c>
      <c r="Z555" s="77"/>
      <c r="AA555" s="77">
        <v>0</v>
      </c>
      <c r="AB555" s="77"/>
      <c r="AC555" s="77">
        <v>0</v>
      </c>
      <c r="AD555" s="77"/>
      <c r="AE555" s="77">
        <v>0</v>
      </c>
      <c r="AF555" s="77"/>
      <c r="AG555" s="77">
        <v>0</v>
      </c>
      <c r="AH555" s="77"/>
      <c r="AI555" s="77">
        <f t="shared" si="24"/>
        <v>818543</v>
      </c>
      <c r="AJ555" s="24"/>
      <c r="AK555" s="15" t="str">
        <f>'Gen Rev'!A555</f>
        <v>Richwood</v>
      </c>
      <c r="AL555" s="15" t="str">
        <f t="shared" si="25"/>
        <v>Richwood</v>
      </c>
      <c r="AM555" s="15" t="b">
        <f t="shared" si="26"/>
        <v>1</v>
      </c>
      <c r="AN555" s="31"/>
      <c r="AO555" s="31"/>
      <c r="AP555" s="31"/>
    </row>
    <row r="556" spans="1:42" ht="12" customHeight="1" x14ac:dyDescent="0.2">
      <c r="A556" s="10" t="s">
        <v>401</v>
      </c>
      <c r="B556" s="10"/>
      <c r="C556" s="10" t="s">
        <v>396</v>
      </c>
      <c r="E556" s="77">
        <v>12955.22</v>
      </c>
      <c r="F556" s="77"/>
      <c r="G556" s="77">
        <v>28342.04</v>
      </c>
      <c r="H556" s="77"/>
      <c r="I556" s="77">
        <v>19354.72</v>
      </c>
      <c r="J556" s="77"/>
      <c r="K556" s="77">
        <v>0</v>
      </c>
      <c r="L556" s="77"/>
      <c r="M556" s="77">
        <v>3700</v>
      </c>
      <c r="N556" s="77"/>
      <c r="O556" s="77">
        <v>1652.37</v>
      </c>
      <c r="P556" s="77"/>
      <c r="Q556" s="77">
        <v>318.58</v>
      </c>
      <c r="R556" s="77"/>
      <c r="S556" s="77">
        <v>2804.27</v>
      </c>
      <c r="T556" s="77"/>
      <c r="U556" s="77">
        <v>0</v>
      </c>
      <c r="V556" s="77"/>
      <c r="W556" s="77">
        <v>0</v>
      </c>
      <c r="X556" s="77"/>
      <c r="Y556" s="77">
        <v>0</v>
      </c>
      <c r="Z556" s="77"/>
      <c r="AA556" s="77">
        <v>1500</v>
      </c>
      <c r="AB556" s="77"/>
      <c r="AC556" s="77">
        <v>0</v>
      </c>
      <c r="AD556" s="77"/>
      <c r="AE556" s="77">
        <v>2836.18</v>
      </c>
      <c r="AF556" s="77"/>
      <c r="AG556" s="77">
        <v>0</v>
      </c>
      <c r="AH556" s="77"/>
      <c r="AI556" s="77">
        <f t="shared" si="24"/>
        <v>73463.38</v>
      </c>
      <c r="AJ556" s="24"/>
      <c r="AK556" s="15" t="str">
        <f>'Gen Rev'!A556</f>
        <v>Ridgeway</v>
      </c>
      <c r="AL556" s="15" t="str">
        <f t="shared" si="25"/>
        <v>Ridgeway</v>
      </c>
      <c r="AM556" s="15" t="b">
        <f t="shared" si="26"/>
        <v>1</v>
      </c>
      <c r="AN556" s="30"/>
      <c r="AO556" s="30"/>
      <c r="AP556" s="30"/>
    </row>
    <row r="557" spans="1:42" ht="12" customHeight="1" x14ac:dyDescent="0.2">
      <c r="A557" s="1" t="s">
        <v>81</v>
      </c>
      <c r="B557" s="1"/>
      <c r="C557" s="1" t="s">
        <v>760</v>
      </c>
      <c r="E557" s="77">
        <v>78.680000000000007</v>
      </c>
      <c r="F557" s="77"/>
      <c r="G557" s="77">
        <v>201174.61</v>
      </c>
      <c r="H557" s="77"/>
      <c r="I557" s="77">
        <v>71806.58</v>
      </c>
      <c r="J557" s="77"/>
      <c r="K557" s="77">
        <v>0</v>
      </c>
      <c r="L557" s="77"/>
      <c r="M557" s="77">
        <v>36772.6</v>
      </c>
      <c r="N557" s="77"/>
      <c r="O557" s="77">
        <v>9868.2099999999991</v>
      </c>
      <c r="P557" s="77"/>
      <c r="Q557" s="77">
        <v>60.94</v>
      </c>
      <c r="R557" s="77"/>
      <c r="S557" s="77">
        <v>43599</v>
      </c>
      <c r="T557" s="77"/>
      <c r="U557" s="77">
        <v>0</v>
      </c>
      <c r="V557" s="77"/>
      <c r="W557" s="77">
        <v>0</v>
      </c>
      <c r="X557" s="77"/>
      <c r="Y557" s="77">
        <v>0</v>
      </c>
      <c r="Z557" s="77"/>
      <c r="AA557" s="77">
        <v>0</v>
      </c>
      <c r="AB557" s="77"/>
      <c r="AC557" s="77">
        <v>0</v>
      </c>
      <c r="AD557" s="77"/>
      <c r="AE557" s="77">
        <v>0</v>
      </c>
      <c r="AF557" s="77"/>
      <c r="AG557" s="77">
        <v>0</v>
      </c>
      <c r="AH557" s="77"/>
      <c r="AI557" s="77">
        <f t="shared" si="24"/>
        <v>363360.62</v>
      </c>
      <c r="AJ557" s="24"/>
      <c r="AK557" s="15" t="str">
        <f>'Gen Rev'!A557</f>
        <v>Rio Grande</v>
      </c>
      <c r="AL557" s="15" t="str">
        <f t="shared" si="25"/>
        <v>Rio Grande</v>
      </c>
      <c r="AM557" s="15" t="b">
        <f t="shared" si="26"/>
        <v>1</v>
      </c>
      <c r="AN557" s="30"/>
      <c r="AO557" s="30"/>
      <c r="AP557" s="30"/>
    </row>
    <row r="558" spans="1:42" ht="12" customHeight="1" x14ac:dyDescent="0.2">
      <c r="A558" s="1" t="s">
        <v>284</v>
      </c>
      <c r="B558" s="1"/>
      <c r="C558" s="1" t="s">
        <v>283</v>
      </c>
      <c r="E558" s="77">
        <v>146010.01999999999</v>
      </c>
      <c r="F558" s="77"/>
      <c r="G558" s="77">
        <v>220530.45</v>
      </c>
      <c r="H558" s="77"/>
      <c r="I558" s="77">
        <v>124648.49</v>
      </c>
      <c r="J558" s="77"/>
      <c r="K558" s="77">
        <v>5619.95</v>
      </c>
      <c r="L558" s="77"/>
      <c r="M558" s="77">
        <v>80647.100000000006</v>
      </c>
      <c r="N558" s="77"/>
      <c r="O558" s="77">
        <v>61932.39</v>
      </c>
      <c r="P558" s="77"/>
      <c r="Q558" s="77">
        <v>18136.689999999999</v>
      </c>
      <c r="R558" s="77"/>
      <c r="S558" s="77">
        <v>87066.87</v>
      </c>
      <c r="T558" s="77"/>
      <c r="U558" s="77">
        <v>0</v>
      </c>
      <c r="V558" s="77"/>
      <c r="W558" s="77">
        <v>0</v>
      </c>
      <c r="X558" s="77"/>
      <c r="Y558" s="77">
        <v>0</v>
      </c>
      <c r="Z558" s="77"/>
      <c r="AA558" s="77">
        <v>0</v>
      </c>
      <c r="AB558" s="77"/>
      <c r="AC558" s="77">
        <v>0</v>
      </c>
      <c r="AD558" s="77"/>
      <c r="AE558" s="77">
        <v>0</v>
      </c>
      <c r="AF558" s="77"/>
      <c r="AG558" s="77">
        <v>0</v>
      </c>
      <c r="AH558" s="77"/>
      <c r="AI558" s="77">
        <f t="shared" si="24"/>
        <v>744591.96</v>
      </c>
      <c r="AJ558" s="24"/>
      <c r="AK558" s="15" t="str">
        <f>'Gen Rev'!A558</f>
        <v>Ripley</v>
      </c>
      <c r="AL558" s="15" t="str">
        <f t="shared" si="25"/>
        <v>Ripley</v>
      </c>
      <c r="AM558" s="15" t="b">
        <f t="shared" si="26"/>
        <v>1</v>
      </c>
    </row>
    <row r="559" spans="1:42" ht="12" customHeight="1" x14ac:dyDescent="0.2">
      <c r="A559" s="1" t="s">
        <v>260</v>
      </c>
      <c r="B559" s="1"/>
      <c r="C559" s="1" t="s">
        <v>813</v>
      </c>
      <c r="E559" s="77">
        <v>77221.679999999993</v>
      </c>
      <c r="F559" s="77"/>
      <c r="G559" s="77">
        <v>0</v>
      </c>
      <c r="H559" s="77"/>
      <c r="I559" s="77">
        <v>64136.28</v>
      </c>
      <c r="J559" s="77"/>
      <c r="K559" s="77">
        <v>0</v>
      </c>
      <c r="L559" s="77"/>
      <c r="M559" s="77">
        <v>68609.8</v>
      </c>
      <c r="N559" s="77"/>
      <c r="O559" s="77">
        <v>25351.23</v>
      </c>
      <c r="P559" s="77"/>
      <c r="Q559" s="77">
        <v>305.60000000000002</v>
      </c>
      <c r="R559" s="77"/>
      <c r="S559" s="77">
        <v>6976.79</v>
      </c>
      <c r="T559" s="77"/>
      <c r="U559" s="77">
        <v>0</v>
      </c>
      <c r="V559" s="77"/>
      <c r="W559" s="77">
        <v>0</v>
      </c>
      <c r="X559" s="77"/>
      <c r="Y559" s="77">
        <v>1</v>
      </c>
      <c r="Z559" s="77"/>
      <c r="AA559" s="77">
        <v>16230</v>
      </c>
      <c r="AB559" s="77"/>
      <c r="AC559" s="77">
        <v>0</v>
      </c>
      <c r="AD559" s="77"/>
      <c r="AE559" s="77">
        <v>28000</v>
      </c>
      <c r="AF559" s="77"/>
      <c r="AG559" s="77">
        <v>0</v>
      </c>
      <c r="AH559" s="77"/>
      <c r="AI559" s="77">
        <f t="shared" si="24"/>
        <v>286832.38</v>
      </c>
      <c r="AJ559" s="24"/>
      <c r="AK559" s="15" t="str">
        <f>'Gen Rev'!A559</f>
        <v>Risingsun</v>
      </c>
      <c r="AL559" s="15" t="str">
        <f t="shared" si="25"/>
        <v>Risingsun</v>
      </c>
      <c r="AM559" s="15" t="b">
        <f t="shared" si="26"/>
        <v>1</v>
      </c>
      <c r="AN559" s="31"/>
      <c r="AO559" s="31"/>
      <c r="AP559" s="31"/>
    </row>
    <row r="560" spans="1:42" s="31" customFormat="1" ht="12" customHeight="1" x14ac:dyDescent="0.2">
      <c r="A560" s="15" t="s">
        <v>356</v>
      </c>
      <c r="B560" s="15"/>
      <c r="C560" s="15" t="s">
        <v>353</v>
      </c>
      <c r="D560" s="15"/>
      <c r="E560" s="77">
        <v>141974</v>
      </c>
      <c r="F560" s="77"/>
      <c r="G560" s="77">
        <v>0</v>
      </c>
      <c r="H560" s="77"/>
      <c r="I560" s="77">
        <v>119686</v>
      </c>
      <c r="J560" s="77"/>
      <c r="K560" s="77">
        <v>0</v>
      </c>
      <c r="L560" s="77"/>
      <c r="M560" s="77">
        <v>0</v>
      </c>
      <c r="N560" s="77"/>
      <c r="O560" s="77">
        <v>12006</v>
      </c>
      <c r="P560" s="77"/>
      <c r="Q560" s="77">
        <v>2232</v>
      </c>
      <c r="R560" s="77"/>
      <c r="S560" s="77">
        <v>0</v>
      </c>
      <c r="T560" s="77"/>
      <c r="U560" s="77">
        <v>0</v>
      </c>
      <c r="V560" s="77"/>
      <c r="W560" s="77">
        <v>0</v>
      </c>
      <c r="X560" s="77"/>
      <c r="Y560" s="77">
        <v>0</v>
      </c>
      <c r="Z560" s="77"/>
      <c r="AA560" s="77">
        <v>0</v>
      </c>
      <c r="AB560" s="77"/>
      <c r="AC560" s="77">
        <v>0</v>
      </c>
      <c r="AD560" s="77"/>
      <c r="AE560" s="77">
        <v>0</v>
      </c>
      <c r="AF560" s="77"/>
      <c r="AG560" s="77">
        <v>0</v>
      </c>
      <c r="AH560" s="77"/>
      <c r="AI560" s="77">
        <f t="shared" si="24"/>
        <v>275898</v>
      </c>
      <c r="AJ560" s="24"/>
      <c r="AK560" s="15" t="str">
        <f>'Gen Rev'!A560</f>
        <v>Riverlea</v>
      </c>
      <c r="AL560" s="15" t="str">
        <f t="shared" si="25"/>
        <v>Riverlea</v>
      </c>
      <c r="AM560" s="15" t="b">
        <f t="shared" si="26"/>
        <v>1</v>
      </c>
      <c r="AN560" s="32"/>
      <c r="AO560" s="32"/>
      <c r="AP560" s="32"/>
    </row>
    <row r="561" spans="1:42" ht="12" customHeight="1" x14ac:dyDescent="0.2">
      <c r="A561" s="15" t="s">
        <v>670</v>
      </c>
      <c r="B561" s="15" t="s">
        <v>879</v>
      </c>
      <c r="C561" s="15" t="s">
        <v>671</v>
      </c>
      <c r="E561" s="77">
        <v>270756</v>
      </c>
      <c r="F561" s="77"/>
      <c r="G561" s="77">
        <v>0</v>
      </c>
      <c r="H561" s="77"/>
      <c r="I561" s="77">
        <v>155780</v>
      </c>
      <c r="J561" s="77"/>
      <c r="K561" s="77">
        <v>0</v>
      </c>
      <c r="L561" s="77"/>
      <c r="M561" s="77">
        <v>0</v>
      </c>
      <c r="N561" s="77"/>
      <c r="O561" s="77">
        <v>9555</v>
      </c>
      <c r="P561" s="77"/>
      <c r="Q561" s="77">
        <v>1697</v>
      </c>
      <c r="R561" s="77"/>
      <c r="S561" s="77">
        <v>5585</v>
      </c>
      <c r="T561" s="77"/>
      <c r="U561" s="77">
        <v>0</v>
      </c>
      <c r="V561" s="77"/>
      <c r="W561" s="77">
        <v>0</v>
      </c>
      <c r="X561" s="77"/>
      <c r="Y561" s="77">
        <v>1000</v>
      </c>
      <c r="Z561" s="77"/>
      <c r="AA561" s="77">
        <v>103061</v>
      </c>
      <c r="AB561" s="77"/>
      <c r="AC561" s="77">
        <v>0</v>
      </c>
      <c r="AD561" s="77"/>
      <c r="AE561" s="77">
        <v>43238</v>
      </c>
      <c r="AF561" s="77"/>
      <c r="AG561" s="77">
        <v>0</v>
      </c>
      <c r="AH561" s="77"/>
      <c r="AI561" s="77">
        <f t="shared" si="24"/>
        <v>590672</v>
      </c>
      <c r="AJ561" s="24"/>
      <c r="AK561" s="15" t="str">
        <f>'Gen Rev'!A561</f>
        <v>Roaming Shores</v>
      </c>
      <c r="AL561" s="15" t="str">
        <f t="shared" si="25"/>
        <v>Roaming Shores</v>
      </c>
      <c r="AM561" s="15" t="b">
        <f t="shared" si="26"/>
        <v>1</v>
      </c>
    </row>
    <row r="562" spans="1:42" ht="12" customHeight="1" x14ac:dyDescent="0.2">
      <c r="A562" s="1" t="s">
        <v>138</v>
      </c>
      <c r="B562" s="1"/>
      <c r="C562" s="1" t="s">
        <v>776</v>
      </c>
      <c r="E562" s="77">
        <v>16452.54</v>
      </c>
      <c r="F562" s="77"/>
      <c r="G562" s="77">
        <v>0</v>
      </c>
      <c r="H562" s="77"/>
      <c r="I562" s="77">
        <v>32145.41</v>
      </c>
      <c r="J562" s="77"/>
      <c r="K562" s="77">
        <v>0</v>
      </c>
      <c r="L562" s="77"/>
      <c r="M562" s="77">
        <v>0</v>
      </c>
      <c r="N562" s="77"/>
      <c r="O562" s="77">
        <v>48</v>
      </c>
      <c r="P562" s="77"/>
      <c r="Q562" s="77">
        <v>2366.13</v>
      </c>
      <c r="R562" s="77"/>
      <c r="S562" s="77">
        <v>0</v>
      </c>
      <c r="T562" s="77"/>
      <c r="U562" s="77">
        <v>0</v>
      </c>
      <c r="V562" s="77"/>
      <c r="W562" s="77">
        <v>0</v>
      </c>
      <c r="X562" s="77"/>
      <c r="Y562" s="77">
        <v>0</v>
      </c>
      <c r="Z562" s="77"/>
      <c r="AA562" s="77">
        <v>0</v>
      </c>
      <c r="AB562" s="77"/>
      <c r="AC562" s="77">
        <v>0</v>
      </c>
      <c r="AD562" s="77"/>
      <c r="AE562" s="77">
        <v>0</v>
      </c>
      <c r="AF562" s="77"/>
      <c r="AG562" s="77">
        <v>0</v>
      </c>
      <c r="AH562" s="77"/>
      <c r="AI562" s="77">
        <f t="shared" si="24"/>
        <v>51012.079999999994</v>
      </c>
      <c r="AJ562" s="24"/>
      <c r="AK562" s="15" t="str">
        <f>'Gen Rev'!A562</f>
        <v>Rochester</v>
      </c>
      <c r="AL562" s="15" t="str">
        <f t="shared" si="25"/>
        <v>Rochester</v>
      </c>
      <c r="AM562" s="15" t="b">
        <f t="shared" si="26"/>
        <v>1</v>
      </c>
    </row>
    <row r="563" spans="1:42" s="67" customFormat="1" ht="12" customHeight="1" x14ac:dyDescent="0.2">
      <c r="A563" s="1" t="s">
        <v>672</v>
      </c>
      <c r="B563" s="1"/>
      <c r="C563" s="1" t="s">
        <v>671</v>
      </c>
      <c r="D563" s="15"/>
      <c r="E563" s="77">
        <v>64406.42</v>
      </c>
      <c r="F563" s="77"/>
      <c r="G563" s="77">
        <v>83366.350000000006</v>
      </c>
      <c r="H563" s="77"/>
      <c r="I563" s="77">
        <v>41008.86</v>
      </c>
      <c r="J563" s="77"/>
      <c r="K563" s="77">
        <v>0</v>
      </c>
      <c r="L563" s="77"/>
      <c r="M563" s="77">
        <v>0</v>
      </c>
      <c r="N563" s="77"/>
      <c r="O563" s="77">
        <v>360</v>
      </c>
      <c r="P563" s="77"/>
      <c r="Q563" s="77">
        <v>404.96</v>
      </c>
      <c r="R563" s="77"/>
      <c r="S563" s="77">
        <v>6201.34</v>
      </c>
      <c r="T563" s="77"/>
      <c r="U563" s="77">
        <v>0</v>
      </c>
      <c r="V563" s="77"/>
      <c r="W563" s="77">
        <v>0</v>
      </c>
      <c r="X563" s="77"/>
      <c r="Y563" s="77">
        <v>0</v>
      </c>
      <c r="Z563" s="77"/>
      <c r="AA563" s="77">
        <v>0</v>
      </c>
      <c r="AB563" s="77"/>
      <c r="AC563" s="77">
        <v>0</v>
      </c>
      <c r="AD563" s="77"/>
      <c r="AE563" s="77">
        <v>0</v>
      </c>
      <c r="AF563" s="77"/>
      <c r="AG563" s="77">
        <v>0</v>
      </c>
      <c r="AH563" s="77"/>
      <c r="AI563" s="77">
        <f t="shared" si="24"/>
        <v>195747.93</v>
      </c>
      <c r="AJ563" s="24"/>
      <c r="AK563" s="15" t="str">
        <f>'Gen Rev'!A563</f>
        <v>Rock Creek</v>
      </c>
      <c r="AL563" s="15" t="str">
        <f t="shared" si="25"/>
        <v>Rock Creek</v>
      </c>
      <c r="AM563" s="15" t="b">
        <f t="shared" si="26"/>
        <v>1</v>
      </c>
      <c r="AN563" s="15"/>
      <c r="AO563" s="15"/>
      <c r="AP563" s="15"/>
    </row>
    <row r="564" spans="1:42" ht="12" customHeight="1" x14ac:dyDescent="0.2">
      <c r="A564" s="1" t="s">
        <v>468</v>
      </c>
      <c r="B564" s="1"/>
      <c r="C564" s="1" t="s">
        <v>466</v>
      </c>
      <c r="E564" s="77">
        <v>75509.94</v>
      </c>
      <c r="F564" s="77"/>
      <c r="G564" s="77">
        <v>252791.19</v>
      </c>
      <c r="H564" s="77"/>
      <c r="I564" s="77">
        <v>102733.05</v>
      </c>
      <c r="J564" s="77"/>
      <c r="K564" s="77">
        <v>105846.55</v>
      </c>
      <c r="L564" s="77"/>
      <c r="M564" s="77">
        <v>0</v>
      </c>
      <c r="N564" s="77"/>
      <c r="O564" s="77">
        <v>19088.21</v>
      </c>
      <c r="P564" s="77"/>
      <c r="Q564" s="77">
        <v>1488.2</v>
      </c>
      <c r="R564" s="77"/>
      <c r="S564" s="77">
        <v>9839.9599999999991</v>
      </c>
      <c r="T564" s="77"/>
      <c r="U564" s="77">
        <v>0</v>
      </c>
      <c r="V564" s="77"/>
      <c r="W564" s="77">
        <v>0</v>
      </c>
      <c r="X564" s="77"/>
      <c r="Y564" s="77">
        <v>0</v>
      </c>
      <c r="Z564" s="77"/>
      <c r="AA564" s="77">
        <v>8800</v>
      </c>
      <c r="AB564" s="77"/>
      <c r="AC564" s="77">
        <v>8578.34</v>
      </c>
      <c r="AD564" s="77"/>
      <c r="AE564" s="77">
        <v>0</v>
      </c>
      <c r="AF564" s="77"/>
      <c r="AG564" s="77">
        <v>0</v>
      </c>
      <c r="AH564" s="77"/>
      <c r="AI564" s="77">
        <f t="shared" si="24"/>
        <v>584675.43999999983</v>
      </c>
      <c r="AJ564" s="24"/>
      <c r="AK564" s="15" t="str">
        <f>'Gen Rev'!A564</f>
        <v>Rockford</v>
      </c>
      <c r="AL564" s="15" t="str">
        <f t="shared" si="25"/>
        <v>Rockford</v>
      </c>
      <c r="AM564" s="15" t="b">
        <f t="shared" si="26"/>
        <v>1</v>
      </c>
      <c r="AN564" s="31"/>
      <c r="AO564" s="31"/>
      <c r="AP564" s="31"/>
    </row>
    <row r="565" spans="1:42" s="31" customFormat="1" ht="12" customHeight="1" x14ac:dyDescent="0.2">
      <c r="A565" s="1" t="s">
        <v>818</v>
      </c>
      <c r="B565" s="1"/>
      <c r="C565" s="1" t="s">
        <v>207</v>
      </c>
      <c r="D565" s="15"/>
      <c r="E565" s="77">
        <v>32912.699999999997</v>
      </c>
      <c r="F565" s="77"/>
      <c r="G565" s="77">
        <v>0</v>
      </c>
      <c r="H565" s="77"/>
      <c r="I565" s="77">
        <v>42927.95</v>
      </c>
      <c r="J565" s="77"/>
      <c r="K565" s="77">
        <v>0</v>
      </c>
      <c r="L565" s="77"/>
      <c r="M565" s="77">
        <v>23930.560000000001</v>
      </c>
      <c r="N565" s="77"/>
      <c r="O565" s="77">
        <v>1372.06</v>
      </c>
      <c r="P565" s="77"/>
      <c r="Q565" s="77">
        <v>48.83</v>
      </c>
      <c r="R565" s="77"/>
      <c r="S565" s="77">
        <v>4001.5</v>
      </c>
      <c r="T565" s="77"/>
      <c r="U565" s="77">
        <v>0</v>
      </c>
      <c r="V565" s="77"/>
      <c r="W565" s="77">
        <v>0</v>
      </c>
      <c r="X565" s="77"/>
      <c r="Y565" s="77">
        <v>0</v>
      </c>
      <c r="Z565" s="77"/>
      <c r="AA565" s="77">
        <v>4000</v>
      </c>
      <c r="AB565" s="77"/>
      <c r="AC565" s="77">
        <v>0</v>
      </c>
      <c r="AD565" s="77"/>
      <c r="AE565" s="77">
        <v>0</v>
      </c>
      <c r="AF565" s="77"/>
      <c r="AG565" s="77">
        <v>0</v>
      </c>
      <c r="AH565" s="77"/>
      <c r="AI565" s="77">
        <f t="shared" si="24"/>
        <v>109193.59999999999</v>
      </c>
      <c r="AJ565" s="24"/>
      <c r="AK565" s="15" t="str">
        <f>'Gen Rev'!A565</f>
        <v>Rocky Ridge</v>
      </c>
      <c r="AL565" s="15" t="str">
        <f t="shared" si="25"/>
        <v>Rocky Ridge</v>
      </c>
      <c r="AM565" s="15" t="b">
        <f t="shared" si="26"/>
        <v>1</v>
      </c>
      <c r="AN565" s="15"/>
      <c r="AO565" s="15"/>
      <c r="AP565" s="15"/>
    </row>
    <row r="566" spans="1:42" ht="12" customHeight="1" x14ac:dyDescent="0.2">
      <c r="A566" s="1" t="s">
        <v>45</v>
      </c>
      <c r="B566" s="1"/>
      <c r="C566" s="1" t="s">
        <v>749</v>
      </c>
      <c r="E566" s="77">
        <v>12884.82</v>
      </c>
      <c r="F566" s="77"/>
      <c r="G566" s="77">
        <v>0</v>
      </c>
      <c r="H566" s="77"/>
      <c r="I566" s="77">
        <v>51711.61</v>
      </c>
      <c r="J566" s="77"/>
      <c r="K566" s="77">
        <v>0</v>
      </c>
      <c r="L566" s="77"/>
      <c r="M566" s="77">
        <v>0</v>
      </c>
      <c r="N566" s="77"/>
      <c r="O566" s="77">
        <v>1980</v>
      </c>
      <c r="P566" s="77"/>
      <c r="Q566" s="77">
        <v>0</v>
      </c>
      <c r="R566" s="77"/>
      <c r="S566" s="77">
        <v>12428.96</v>
      </c>
      <c r="T566" s="77"/>
      <c r="U566" s="77">
        <v>0</v>
      </c>
      <c r="V566" s="77"/>
      <c r="W566" s="77">
        <v>0</v>
      </c>
      <c r="X566" s="77"/>
      <c r="Y566" s="77">
        <v>0</v>
      </c>
      <c r="Z566" s="77"/>
      <c r="AA566" s="77">
        <v>0</v>
      </c>
      <c r="AB566" s="77"/>
      <c r="AC566" s="77">
        <v>0</v>
      </c>
      <c r="AD566" s="77"/>
      <c r="AE566" s="77">
        <v>1.28</v>
      </c>
      <c r="AF566" s="77"/>
      <c r="AG566" s="77">
        <v>0</v>
      </c>
      <c r="AH566" s="77"/>
      <c r="AI566" s="77">
        <f t="shared" si="24"/>
        <v>79006.669999999984</v>
      </c>
      <c r="AJ566" s="24"/>
      <c r="AK566" s="15" t="str">
        <f>'Gen Rev'!A566</f>
        <v>Rogers</v>
      </c>
      <c r="AL566" s="15" t="str">
        <f t="shared" si="25"/>
        <v>Rogers</v>
      </c>
      <c r="AM566" s="15" t="b">
        <f t="shared" si="26"/>
        <v>1</v>
      </c>
      <c r="AN566" s="31"/>
      <c r="AO566" s="31"/>
      <c r="AP566" s="31"/>
    </row>
    <row r="567" spans="1:42" s="31" customFormat="1" ht="12" customHeight="1" x14ac:dyDescent="0.2">
      <c r="A567" s="15" t="s">
        <v>819</v>
      </c>
      <c r="B567" s="15"/>
      <c r="C567" s="15" t="s">
        <v>659</v>
      </c>
      <c r="D567" s="15"/>
      <c r="E567" s="77">
        <v>8843</v>
      </c>
      <c r="F567" s="77"/>
      <c r="G567" s="77">
        <v>0</v>
      </c>
      <c r="H567" s="77"/>
      <c r="I567" s="77">
        <v>1293</v>
      </c>
      <c r="J567" s="77"/>
      <c r="K567" s="77">
        <v>0</v>
      </c>
      <c r="L567" s="77"/>
      <c r="M567" s="77">
        <v>0</v>
      </c>
      <c r="N567" s="77"/>
      <c r="O567" s="77">
        <v>408</v>
      </c>
      <c r="P567" s="77"/>
      <c r="Q567" s="77">
        <v>0</v>
      </c>
      <c r="R567" s="77"/>
      <c r="S567" s="77">
        <v>0</v>
      </c>
      <c r="T567" s="77"/>
      <c r="U567" s="77">
        <v>0</v>
      </c>
      <c r="V567" s="77"/>
      <c r="W567" s="77">
        <v>0</v>
      </c>
      <c r="X567" s="77"/>
      <c r="Y567" s="77">
        <v>0</v>
      </c>
      <c r="Z567" s="77"/>
      <c r="AA567" s="77">
        <v>0</v>
      </c>
      <c r="AB567" s="77"/>
      <c r="AC567" s="77">
        <v>0</v>
      </c>
      <c r="AD567" s="77"/>
      <c r="AE567" s="77">
        <v>0</v>
      </c>
      <c r="AF567" s="77"/>
      <c r="AG567" s="77">
        <v>0</v>
      </c>
      <c r="AH567" s="77"/>
      <c r="AI567" s="77">
        <f t="shared" si="24"/>
        <v>10544</v>
      </c>
      <c r="AJ567" s="24"/>
      <c r="AK567" s="15" t="str">
        <f>'Gen Rev'!A567</f>
        <v>Rome</v>
      </c>
      <c r="AL567" s="15" t="str">
        <f t="shared" si="25"/>
        <v>Rome</v>
      </c>
      <c r="AM567" s="15" t="b">
        <f t="shared" si="26"/>
        <v>1</v>
      </c>
      <c r="AN567" s="15"/>
      <c r="AO567" s="15"/>
      <c r="AP567" s="15"/>
    </row>
    <row r="568" spans="1:42" s="31" customFormat="1" ht="12" customHeight="1" x14ac:dyDescent="0.2">
      <c r="A568" s="1" t="s">
        <v>488</v>
      </c>
      <c r="B568" s="1"/>
      <c r="C568" s="1" t="s">
        <v>484</v>
      </c>
      <c r="D568" s="15"/>
      <c r="E568" s="77">
        <v>96486.21</v>
      </c>
      <c r="F568" s="77"/>
      <c r="G568" s="77">
        <v>126663.52</v>
      </c>
      <c r="H568" s="77"/>
      <c r="I568" s="77">
        <v>265198.65000000002</v>
      </c>
      <c r="J568" s="77"/>
      <c r="K568" s="77">
        <v>0</v>
      </c>
      <c r="L568" s="77"/>
      <c r="M568" s="77">
        <v>135855.06</v>
      </c>
      <c r="N568" s="77"/>
      <c r="O568" s="77">
        <v>20173.29</v>
      </c>
      <c r="P568" s="77"/>
      <c r="Q568" s="77">
        <v>1267.3</v>
      </c>
      <c r="R568" s="77"/>
      <c r="S568" s="77">
        <v>48937.72</v>
      </c>
      <c r="T568" s="77"/>
      <c r="U568" s="77">
        <v>0</v>
      </c>
      <c r="V568" s="77"/>
      <c r="W568" s="77">
        <v>0</v>
      </c>
      <c r="X568" s="77"/>
      <c r="Y568" s="77">
        <v>0</v>
      </c>
      <c r="Z568" s="77"/>
      <c r="AA568" s="77">
        <v>78224.13</v>
      </c>
      <c r="AB568" s="77"/>
      <c r="AC568" s="77">
        <v>19700</v>
      </c>
      <c r="AD568" s="77"/>
      <c r="AE568" s="77">
        <v>0</v>
      </c>
      <c r="AF568" s="77"/>
      <c r="AG568" s="77">
        <v>0</v>
      </c>
      <c r="AH568" s="77"/>
      <c r="AI568" s="77">
        <f t="shared" si="24"/>
        <v>792505.88</v>
      </c>
      <c r="AJ568" s="24"/>
      <c r="AK568" s="15" t="str">
        <f>'Gen Rev'!A568</f>
        <v>Roseville</v>
      </c>
      <c r="AL568" s="15" t="str">
        <f t="shared" si="25"/>
        <v>Roseville</v>
      </c>
      <c r="AM568" s="15" t="b">
        <f t="shared" si="26"/>
        <v>1</v>
      </c>
      <c r="AN568" s="15"/>
      <c r="AO568" s="15"/>
      <c r="AP568" s="15"/>
    </row>
    <row r="569" spans="1:42" ht="12" hidden="1" customHeight="1" x14ac:dyDescent="0.2">
      <c r="A569" s="1" t="s">
        <v>336</v>
      </c>
      <c r="B569" s="1"/>
      <c r="C569" s="1" t="s">
        <v>329</v>
      </c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>
        <f t="shared" si="24"/>
        <v>0</v>
      </c>
      <c r="AJ569" s="24"/>
      <c r="AK569" s="15" t="str">
        <f>'Gen Rev'!A569</f>
        <v>Rossburg</v>
      </c>
      <c r="AL569" s="15" t="str">
        <f t="shared" si="25"/>
        <v>Rossburg</v>
      </c>
      <c r="AM569" s="15" t="b">
        <f t="shared" si="26"/>
        <v>1</v>
      </c>
      <c r="AN569" s="32"/>
      <c r="AO569" s="32"/>
      <c r="AP569" s="32"/>
    </row>
    <row r="570" spans="1:42" ht="12" customHeight="1" x14ac:dyDescent="0.2">
      <c r="A570" s="1" t="s">
        <v>896</v>
      </c>
      <c r="B570" s="1"/>
      <c r="C570" s="1" t="s">
        <v>560</v>
      </c>
      <c r="E570" s="77">
        <v>17993.41</v>
      </c>
      <c r="F570" s="77"/>
      <c r="G570" s="77">
        <v>18262.64</v>
      </c>
      <c r="H570" s="77"/>
      <c r="I570" s="77">
        <v>17776.79</v>
      </c>
      <c r="J570" s="77"/>
      <c r="K570" s="77">
        <v>0</v>
      </c>
      <c r="L570" s="77"/>
      <c r="M570" s="77">
        <v>0</v>
      </c>
      <c r="N570" s="77"/>
      <c r="O570" s="77">
        <v>432</v>
      </c>
      <c r="P570" s="77"/>
      <c r="Q570" s="77">
        <v>9.02</v>
      </c>
      <c r="R570" s="77"/>
      <c r="S570" s="77">
        <v>23813.7</v>
      </c>
      <c r="T570" s="77"/>
      <c r="U570" s="77">
        <v>0</v>
      </c>
      <c r="V570" s="77"/>
      <c r="W570" s="77">
        <v>0</v>
      </c>
      <c r="X570" s="77"/>
      <c r="Y570" s="77">
        <v>0</v>
      </c>
      <c r="Z570" s="77"/>
      <c r="AA570" s="77">
        <v>0</v>
      </c>
      <c r="AB570" s="77"/>
      <c r="AC570" s="77">
        <v>0</v>
      </c>
      <c r="AD570" s="77"/>
      <c r="AE570" s="77">
        <v>0</v>
      </c>
      <c r="AF570" s="77"/>
      <c r="AG570" s="77">
        <v>0</v>
      </c>
      <c r="AH570" s="77"/>
      <c r="AI570" s="77">
        <f t="shared" si="24"/>
        <v>78287.56</v>
      </c>
      <c r="AJ570" s="24"/>
      <c r="AK570" s="15" t="str">
        <f>'Gen Rev'!A570</f>
        <v>Roswell</v>
      </c>
      <c r="AL570" s="15" t="str">
        <f t="shared" si="25"/>
        <v>Roswell</v>
      </c>
      <c r="AM570" s="15" t="b">
        <f t="shared" si="26"/>
        <v>1</v>
      </c>
    </row>
    <row r="571" spans="1:42" ht="12" customHeight="1" x14ac:dyDescent="0.2">
      <c r="A571" s="1" t="s">
        <v>842</v>
      </c>
      <c r="B571" s="1"/>
      <c r="C571" s="1" t="s">
        <v>775</v>
      </c>
      <c r="E571" s="77">
        <v>61866.57</v>
      </c>
      <c r="F571" s="77"/>
      <c r="G571" s="77">
        <v>0</v>
      </c>
      <c r="H571" s="77"/>
      <c r="I571" s="77">
        <v>76869.53</v>
      </c>
      <c r="J571" s="77"/>
      <c r="K571" s="77">
        <v>0</v>
      </c>
      <c r="L571" s="77"/>
      <c r="M571" s="77">
        <v>0</v>
      </c>
      <c r="N571" s="77"/>
      <c r="O571" s="77">
        <v>3333.28</v>
      </c>
      <c r="P571" s="77"/>
      <c r="Q571" s="77">
        <v>814.83</v>
      </c>
      <c r="R571" s="77"/>
      <c r="S571" s="77">
        <v>5970.25</v>
      </c>
      <c r="T571" s="77"/>
      <c r="U571" s="77">
        <v>0</v>
      </c>
      <c r="V571" s="77"/>
      <c r="W571" s="77">
        <v>0</v>
      </c>
      <c r="X571" s="77"/>
      <c r="Y571" s="77">
        <v>0</v>
      </c>
      <c r="Z571" s="77"/>
      <c r="AA571" s="77">
        <v>0</v>
      </c>
      <c r="AB571" s="77"/>
      <c r="AC571" s="77">
        <v>0</v>
      </c>
      <c r="AD571" s="77"/>
      <c r="AE571" s="77">
        <v>0</v>
      </c>
      <c r="AF571" s="77"/>
      <c r="AG571" s="77">
        <v>0</v>
      </c>
      <c r="AH571" s="77"/>
      <c r="AI571" s="77">
        <f t="shared" si="24"/>
        <v>148854.46</v>
      </c>
      <c r="AJ571" s="24"/>
      <c r="AK571" s="15" t="str">
        <f>'Gen Rev'!A571</f>
        <v>Rushsylvania</v>
      </c>
      <c r="AL571" s="15" t="str">
        <f t="shared" si="25"/>
        <v>Rushsylvania</v>
      </c>
      <c r="AM571" s="15" t="b">
        <f t="shared" si="26"/>
        <v>1</v>
      </c>
    </row>
    <row r="572" spans="1:42" ht="12" customHeight="1" x14ac:dyDescent="0.2">
      <c r="A572" s="1" t="s">
        <v>65</v>
      </c>
      <c r="B572" s="1"/>
      <c r="C572" s="1" t="s">
        <v>756</v>
      </c>
      <c r="E572" s="77">
        <v>8319.9</v>
      </c>
      <c r="F572" s="77"/>
      <c r="G572" s="77">
        <v>0</v>
      </c>
      <c r="H572" s="77"/>
      <c r="I572" s="77">
        <v>21703.360000000001</v>
      </c>
      <c r="J572" s="77"/>
      <c r="K572" s="77">
        <v>0</v>
      </c>
      <c r="L572" s="77"/>
      <c r="M572" s="77">
        <v>1500</v>
      </c>
      <c r="N572" s="77"/>
      <c r="O572" s="77">
        <v>11875.28</v>
      </c>
      <c r="P572" s="77"/>
      <c r="Q572" s="77">
        <v>1147.49</v>
      </c>
      <c r="R572" s="77"/>
      <c r="S572" s="77">
        <v>827.08</v>
      </c>
      <c r="T572" s="77"/>
      <c r="U572" s="77">
        <v>0</v>
      </c>
      <c r="V572" s="77"/>
      <c r="W572" s="77">
        <v>0</v>
      </c>
      <c r="X572" s="77"/>
      <c r="Y572" s="77">
        <v>0</v>
      </c>
      <c r="Z572" s="77"/>
      <c r="AA572" s="77">
        <v>0</v>
      </c>
      <c r="AB572" s="77"/>
      <c r="AC572" s="77">
        <v>0</v>
      </c>
      <c r="AD572" s="77"/>
      <c r="AE572" s="77">
        <v>0</v>
      </c>
      <c r="AF572" s="77"/>
      <c r="AG572" s="77">
        <v>0</v>
      </c>
      <c r="AH572" s="77"/>
      <c r="AI572" s="77">
        <f t="shared" si="24"/>
        <v>45373.11</v>
      </c>
      <c r="AJ572" s="24"/>
      <c r="AK572" s="15" t="str">
        <f>'Gen Rev'!A572</f>
        <v>Rushville</v>
      </c>
      <c r="AL572" s="15" t="str">
        <f t="shared" si="25"/>
        <v>Rushville</v>
      </c>
      <c r="AM572" s="15" t="b">
        <f t="shared" si="26"/>
        <v>1</v>
      </c>
      <c r="AN572" s="31"/>
      <c r="AO572" s="31"/>
      <c r="AP572" s="31"/>
    </row>
    <row r="573" spans="1:42" s="31" customFormat="1" ht="12" customHeight="1" x14ac:dyDescent="0.2">
      <c r="A573" s="1" t="s">
        <v>447</v>
      </c>
      <c r="B573" s="1"/>
      <c r="C573" s="1" t="s">
        <v>446</v>
      </c>
      <c r="D573" s="15"/>
      <c r="E573" s="77">
        <v>149591.85</v>
      </c>
      <c r="F573" s="77"/>
      <c r="G573" s="77">
        <v>231414.8</v>
      </c>
      <c r="H573" s="77"/>
      <c r="I573" s="77">
        <v>203757.75</v>
      </c>
      <c r="J573" s="77"/>
      <c r="K573" s="77">
        <v>0</v>
      </c>
      <c r="L573" s="77"/>
      <c r="M573" s="77">
        <v>0</v>
      </c>
      <c r="N573" s="77"/>
      <c r="O573" s="77">
        <v>49334.49</v>
      </c>
      <c r="P573" s="77"/>
      <c r="Q573" s="77">
        <v>618.14</v>
      </c>
      <c r="R573" s="77"/>
      <c r="S573" s="77">
        <v>76397.58</v>
      </c>
      <c r="T573" s="77"/>
      <c r="U573" s="77">
        <v>0</v>
      </c>
      <c r="V573" s="77"/>
      <c r="W573" s="77">
        <v>0</v>
      </c>
      <c r="X573" s="77"/>
      <c r="Y573" s="77">
        <v>0</v>
      </c>
      <c r="Z573" s="77"/>
      <c r="AA573" s="77">
        <v>198183.88</v>
      </c>
      <c r="AB573" s="77"/>
      <c r="AC573" s="77">
        <v>0</v>
      </c>
      <c r="AD573" s="77"/>
      <c r="AE573" s="77">
        <v>0</v>
      </c>
      <c r="AF573" s="77"/>
      <c r="AG573" s="77">
        <v>0</v>
      </c>
      <c r="AH573" s="77"/>
      <c r="AI573" s="77">
        <f t="shared" si="24"/>
        <v>909298.49</v>
      </c>
      <c r="AJ573" s="24"/>
      <c r="AK573" s="15" t="str">
        <f>'Gen Rev'!A573</f>
        <v>Russells Point</v>
      </c>
      <c r="AL573" s="15" t="str">
        <f t="shared" si="25"/>
        <v>Russells Point</v>
      </c>
      <c r="AM573" s="15" t="b">
        <f t="shared" si="26"/>
        <v>1</v>
      </c>
      <c r="AN573" s="15"/>
      <c r="AO573" s="15"/>
      <c r="AP573" s="15"/>
    </row>
    <row r="574" spans="1:42" s="31" customFormat="1" ht="12" customHeight="1" x14ac:dyDescent="0.2">
      <c r="A574" s="1" t="s">
        <v>933</v>
      </c>
      <c r="B574" s="1"/>
      <c r="C574" s="1" t="s">
        <v>283</v>
      </c>
      <c r="D574" s="15"/>
      <c r="E574" s="77">
        <v>73833.42</v>
      </c>
      <c r="F574" s="77"/>
      <c r="G574" s="77">
        <v>0</v>
      </c>
      <c r="H574" s="77"/>
      <c r="I574" s="77">
        <v>49088.41</v>
      </c>
      <c r="J574" s="77"/>
      <c r="K574" s="77">
        <v>1506</v>
      </c>
      <c r="L574" s="77"/>
      <c r="M574" s="77">
        <v>52990.35</v>
      </c>
      <c r="N574" s="77"/>
      <c r="O574" s="77">
        <v>58833.35</v>
      </c>
      <c r="P574" s="77"/>
      <c r="Q574" s="77">
        <v>58.11</v>
      </c>
      <c r="R574" s="77"/>
      <c r="S574" s="77">
        <v>76564.2</v>
      </c>
      <c r="T574" s="77"/>
      <c r="U574" s="77">
        <v>0</v>
      </c>
      <c r="V574" s="77"/>
      <c r="W574" s="77">
        <v>0</v>
      </c>
      <c r="X574" s="77"/>
      <c r="Y574" s="77">
        <v>0</v>
      </c>
      <c r="Z574" s="77"/>
      <c r="AA574" s="77">
        <v>0</v>
      </c>
      <c r="AB574" s="77"/>
      <c r="AC574" s="77">
        <v>0</v>
      </c>
      <c r="AD574" s="77"/>
      <c r="AE574" s="77">
        <v>0</v>
      </c>
      <c r="AF574" s="77"/>
      <c r="AG574" s="77">
        <v>0</v>
      </c>
      <c r="AH574" s="77"/>
      <c r="AI574" s="77">
        <f t="shared" si="24"/>
        <v>312873.83999999997</v>
      </c>
      <c r="AJ574" s="24"/>
      <c r="AK574" s="15" t="str">
        <f>'Gen Rev'!A574</f>
        <v>Russellville</v>
      </c>
      <c r="AL574" s="15" t="str">
        <f t="shared" si="25"/>
        <v>Russellville</v>
      </c>
      <c r="AM574" s="15" t="b">
        <f t="shared" si="26"/>
        <v>1</v>
      </c>
      <c r="AN574" s="15"/>
      <c r="AO574" s="15"/>
      <c r="AP574" s="15"/>
    </row>
    <row r="575" spans="1:42" ht="12" customHeight="1" x14ac:dyDescent="0.2">
      <c r="A575" s="15" t="s">
        <v>538</v>
      </c>
      <c r="C575" s="15" t="s">
        <v>536</v>
      </c>
      <c r="E575" s="77">
        <v>16879</v>
      </c>
      <c r="F575" s="77"/>
      <c r="G575" s="77">
        <v>174218</v>
      </c>
      <c r="H575" s="77"/>
      <c r="I575" s="77">
        <v>118130</v>
      </c>
      <c r="J575" s="77"/>
      <c r="K575" s="77">
        <v>36045</v>
      </c>
      <c r="L575" s="77"/>
      <c r="M575" s="77">
        <v>17157</v>
      </c>
      <c r="N575" s="77"/>
      <c r="O575" s="77">
        <v>2902</v>
      </c>
      <c r="P575" s="77"/>
      <c r="Q575" s="77">
        <v>433</v>
      </c>
      <c r="R575" s="77"/>
      <c r="S575" s="77">
        <v>12367</v>
      </c>
      <c r="T575" s="77"/>
      <c r="U575" s="77">
        <v>0</v>
      </c>
      <c r="V575" s="77"/>
      <c r="W575" s="77">
        <v>0</v>
      </c>
      <c r="X575" s="77"/>
      <c r="Y575" s="77">
        <v>21570</v>
      </c>
      <c r="Z575" s="77"/>
      <c r="AA575" s="77">
        <v>0</v>
      </c>
      <c r="AB575" s="77"/>
      <c r="AC575" s="77">
        <v>0</v>
      </c>
      <c r="AD575" s="77"/>
      <c r="AE575" s="77">
        <v>60</v>
      </c>
      <c r="AF575" s="77"/>
      <c r="AG575" s="77">
        <v>0</v>
      </c>
      <c r="AH575" s="77"/>
      <c r="AI575" s="77">
        <f t="shared" si="24"/>
        <v>399761</v>
      </c>
      <c r="AJ575" s="24"/>
      <c r="AK575" s="15" t="str">
        <f>'Gen Rev'!A575</f>
        <v>Russia</v>
      </c>
      <c r="AL575" s="15" t="str">
        <f t="shared" si="25"/>
        <v>Russia</v>
      </c>
      <c r="AM575" s="15" t="b">
        <f t="shared" si="26"/>
        <v>1</v>
      </c>
    </row>
    <row r="576" spans="1:42" ht="12" customHeight="1" x14ac:dyDescent="0.2">
      <c r="A576" s="1" t="s">
        <v>700</v>
      </c>
      <c r="B576" s="1"/>
      <c r="C576" s="1" t="s">
        <v>464</v>
      </c>
      <c r="E576" s="77">
        <v>14550.87</v>
      </c>
      <c r="F576" s="77"/>
      <c r="G576" s="77">
        <v>0</v>
      </c>
      <c r="H576" s="77"/>
      <c r="I576" s="77">
        <v>32396.880000000001</v>
      </c>
      <c r="J576" s="77"/>
      <c r="K576" s="77">
        <v>2432.59</v>
      </c>
      <c r="L576" s="77"/>
      <c r="M576" s="77">
        <v>5583</v>
      </c>
      <c r="N576" s="77"/>
      <c r="O576" s="77">
        <v>16792.3</v>
      </c>
      <c r="P576" s="77"/>
      <c r="Q576" s="77">
        <v>26.63</v>
      </c>
      <c r="R576" s="77"/>
      <c r="S576" s="77">
        <v>6015.69</v>
      </c>
      <c r="T576" s="77"/>
      <c r="U576" s="77">
        <v>0</v>
      </c>
      <c r="V576" s="77"/>
      <c r="W576" s="77">
        <v>0</v>
      </c>
      <c r="X576" s="77"/>
      <c r="Y576" s="77">
        <v>0</v>
      </c>
      <c r="Z576" s="77"/>
      <c r="AA576" s="77">
        <v>0</v>
      </c>
      <c r="AB576" s="77"/>
      <c r="AC576" s="77">
        <v>0</v>
      </c>
      <c r="AD576" s="77"/>
      <c r="AE576" s="77">
        <v>0</v>
      </c>
      <c r="AF576" s="77"/>
      <c r="AG576" s="77">
        <v>474.8</v>
      </c>
      <c r="AH576" s="77"/>
      <c r="AI576" s="77">
        <f t="shared" si="24"/>
        <v>78272.760000000009</v>
      </c>
      <c r="AJ576" s="24"/>
      <c r="AK576" s="15" t="str">
        <f>'Gen Rev'!A576</f>
        <v>Rutland</v>
      </c>
      <c r="AL576" s="15" t="str">
        <f t="shared" si="25"/>
        <v>Rutland</v>
      </c>
      <c r="AM576" s="15" t="b">
        <f t="shared" si="26"/>
        <v>1</v>
      </c>
    </row>
    <row r="577" spans="1:42" ht="12" customHeight="1" x14ac:dyDescent="0.2">
      <c r="A577" s="1" t="s">
        <v>304</v>
      </c>
      <c r="B577" s="1"/>
      <c r="C577" s="1" t="s">
        <v>299</v>
      </c>
      <c r="E577" s="77">
        <v>77188.14</v>
      </c>
      <c r="F577" s="77"/>
      <c r="G577" s="77">
        <v>255635.82</v>
      </c>
      <c r="H577" s="77"/>
      <c r="I577" s="77">
        <v>190550.43</v>
      </c>
      <c r="J577" s="77"/>
      <c r="K577" s="77">
        <v>373.38</v>
      </c>
      <c r="L577" s="77"/>
      <c r="M577" s="77">
        <v>1603</v>
      </c>
      <c r="N577" s="77"/>
      <c r="O577" s="77">
        <v>22626.16</v>
      </c>
      <c r="P577" s="77"/>
      <c r="Q577" s="77">
        <v>1369.73</v>
      </c>
      <c r="R577" s="77"/>
      <c r="S577" s="77">
        <v>20920.759999999998</v>
      </c>
      <c r="T577" s="77"/>
      <c r="U577" s="77">
        <v>0</v>
      </c>
      <c r="V577" s="77"/>
      <c r="W577" s="77">
        <v>0</v>
      </c>
      <c r="X577" s="77"/>
      <c r="Y577" s="77">
        <v>0</v>
      </c>
      <c r="Z577" s="77"/>
      <c r="AA577" s="77">
        <v>0</v>
      </c>
      <c r="AB577" s="77"/>
      <c r="AC577" s="77">
        <v>0</v>
      </c>
      <c r="AD577" s="77"/>
      <c r="AE577" s="77">
        <v>0</v>
      </c>
      <c r="AF577" s="77"/>
      <c r="AG577" s="77">
        <v>0</v>
      </c>
      <c r="AH577" s="77"/>
      <c r="AI577" s="77">
        <f t="shared" si="24"/>
        <v>570267.42000000004</v>
      </c>
      <c r="AJ577" s="24"/>
      <c r="AK577" s="15" t="str">
        <f>'Gen Rev'!A577</f>
        <v>Sabina</v>
      </c>
      <c r="AL577" s="15" t="str">
        <f t="shared" si="25"/>
        <v>Sabina</v>
      </c>
      <c r="AM577" s="15" t="b">
        <f t="shared" si="26"/>
        <v>1</v>
      </c>
    </row>
    <row r="578" spans="1:42" ht="12" customHeight="1" x14ac:dyDescent="0.2">
      <c r="A578" s="1" t="s">
        <v>161</v>
      </c>
      <c r="B578" s="1"/>
      <c r="C578" s="1" t="s">
        <v>783</v>
      </c>
      <c r="E578" s="77">
        <v>102985.39</v>
      </c>
      <c r="F578" s="77"/>
      <c r="G578" s="77">
        <v>859112.6</v>
      </c>
      <c r="H578" s="77"/>
      <c r="I578" s="77">
        <v>353266.31</v>
      </c>
      <c r="J578" s="77"/>
      <c r="K578" s="77">
        <v>7047.1</v>
      </c>
      <c r="L578" s="77"/>
      <c r="M578" s="77">
        <v>32258.39</v>
      </c>
      <c r="N578" s="77"/>
      <c r="O578" s="77">
        <v>30823.05</v>
      </c>
      <c r="P578" s="77"/>
      <c r="Q578" s="77">
        <v>13026.12</v>
      </c>
      <c r="R578" s="77"/>
      <c r="S578" s="77">
        <v>0</v>
      </c>
      <c r="T578" s="77"/>
      <c r="U578" s="77">
        <v>0</v>
      </c>
      <c r="V578" s="77"/>
      <c r="W578" s="77">
        <v>0</v>
      </c>
      <c r="X578" s="77"/>
      <c r="Y578" s="77">
        <v>0</v>
      </c>
      <c r="Z578" s="77"/>
      <c r="AA578" s="77">
        <v>50000</v>
      </c>
      <c r="AB578" s="77"/>
      <c r="AC578" s="77">
        <v>0</v>
      </c>
      <c r="AD578" s="77"/>
      <c r="AE578" s="77">
        <v>0</v>
      </c>
      <c r="AF578" s="77"/>
      <c r="AG578" s="77">
        <v>0</v>
      </c>
      <c r="AH578" s="77"/>
      <c r="AI578" s="77">
        <f t="shared" si="24"/>
        <v>1448518.9600000002</v>
      </c>
      <c r="AJ578" s="24"/>
      <c r="AK578" s="15" t="str">
        <f>'Gen Rev'!A578</f>
        <v>Saint Henry</v>
      </c>
      <c r="AL578" s="15" t="str">
        <f t="shared" si="25"/>
        <v>Saint Henry</v>
      </c>
      <c r="AM578" s="15" t="b">
        <f t="shared" si="26"/>
        <v>1</v>
      </c>
      <c r="AN578" s="32"/>
      <c r="AO578" s="32"/>
      <c r="AP578" s="32"/>
    </row>
    <row r="579" spans="1:42" s="31" customFormat="1" ht="12" customHeight="1" x14ac:dyDescent="0.2">
      <c r="A579" s="1" t="s">
        <v>934</v>
      </c>
      <c r="B579" s="1"/>
      <c r="C579" s="1" t="s">
        <v>375</v>
      </c>
      <c r="D579" s="15"/>
      <c r="E579" s="77">
        <v>8162.29</v>
      </c>
      <c r="F579" s="77"/>
      <c r="G579" s="77">
        <v>0</v>
      </c>
      <c r="H579" s="77"/>
      <c r="I579" s="77">
        <v>12055.1</v>
      </c>
      <c r="J579" s="77"/>
      <c r="K579" s="77">
        <v>0</v>
      </c>
      <c r="L579" s="77"/>
      <c r="M579" s="77">
        <v>125</v>
      </c>
      <c r="N579" s="77"/>
      <c r="O579" s="77">
        <v>0</v>
      </c>
      <c r="P579" s="77"/>
      <c r="Q579" s="77">
        <v>24.98</v>
      </c>
      <c r="R579" s="77"/>
      <c r="S579" s="77">
        <v>2843</v>
      </c>
      <c r="T579" s="77"/>
      <c r="U579" s="77">
        <v>0</v>
      </c>
      <c r="V579" s="77"/>
      <c r="W579" s="77">
        <v>0</v>
      </c>
      <c r="X579" s="77"/>
      <c r="Y579" s="77">
        <v>0</v>
      </c>
      <c r="Z579" s="77"/>
      <c r="AA579" s="77">
        <v>0</v>
      </c>
      <c r="AB579" s="77"/>
      <c r="AC579" s="77">
        <v>0</v>
      </c>
      <c r="AD579" s="77"/>
      <c r="AE579" s="77">
        <v>0</v>
      </c>
      <c r="AF579" s="77"/>
      <c r="AG579" s="77">
        <v>0</v>
      </c>
      <c r="AH579" s="77"/>
      <c r="AI579" s="77">
        <f t="shared" si="24"/>
        <v>23210.37</v>
      </c>
      <c r="AJ579" s="24"/>
      <c r="AK579" s="15" t="str">
        <f>'Gen Rev'!A579</f>
        <v>Salesville</v>
      </c>
      <c r="AL579" s="15" t="str">
        <f t="shared" si="25"/>
        <v>Salesville</v>
      </c>
      <c r="AM579" s="15" t="b">
        <f t="shared" si="26"/>
        <v>1</v>
      </c>
      <c r="AN579" s="32"/>
      <c r="AO579" s="32"/>
      <c r="AP579" s="32"/>
    </row>
    <row r="580" spans="1:42" ht="12" customHeight="1" x14ac:dyDescent="0.2">
      <c r="A580" s="1" t="s">
        <v>46</v>
      </c>
      <c r="B580" s="1"/>
      <c r="C580" s="1" t="s">
        <v>749</v>
      </c>
      <c r="E580" s="77">
        <v>164871.26999999999</v>
      </c>
      <c r="F580" s="77"/>
      <c r="G580" s="77">
        <v>114439.77</v>
      </c>
      <c r="H580" s="77"/>
      <c r="I580" s="77">
        <v>86696.45</v>
      </c>
      <c r="J580" s="77"/>
      <c r="K580" s="77">
        <v>0</v>
      </c>
      <c r="L580" s="77"/>
      <c r="M580" s="77">
        <v>6134.59</v>
      </c>
      <c r="N580" s="77"/>
      <c r="O580" s="77">
        <v>2924.64</v>
      </c>
      <c r="P580" s="77"/>
      <c r="Q580" s="77">
        <v>0.32</v>
      </c>
      <c r="R580" s="77"/>
      <c r="S580" s="77">
        <v>4700</v>
      </c>
      <c r="T580" s="77"/>
      <c r="U580" s="77">
        <v>0</v>
      </c>
      <c r="V580" s="77"/>
      <c r="W580" s="77">
        <v>0</v>
      </c>
      <c r="X580" s="77"/>
      <c r="Y580" s="77">
        <v>0</v>
      </c>
      <c r="Z580" s="77"/>
      <c r="AA580" s="77">
        <v>15500</v>
      </c>
      <c r="AB580" s="77"/>
      <c r="AC580" s="77">
        <v>2500</v>
      </c>
      <c r="AD580" s="77"/>
      <c r="AE580" s="77">
        <v>14999.98</v>
      </c>
      <c r="AF580" s="77"/>
      <c r="AG580" s="77">
        <v>0</v>
      </c>
      <c r="AH580" s="77"/>
      <c r="AI580" s="77">
        <f t="shared" si="24"/>
        <v>412767.02</v>
      </c>
      <c r="AJ580" s="24"/>
      <c r="AK580" s="15" t="str">
        <f>'Gen Rev'!A580</f>
        <v>Salineville</v>
      </c>
      <c r="AL580" s="15" t="str">
        <f t="shared" si="25"/>
        <v>Salineville</v>
      </c>
      <c r="AM580" s="15" t="b">
        <f t="shared" si="26"/>
        <v>1</v>
      </c>
      <c r="AN580" s="32"/>
      <c r="AO580" s="32"/>
      <c r="AP580" s="32"/>
    </row>
    <row r="581" spans="1:42" s="31" customFormat="1" ht="12" customHeight="1" x14ac:dyDescent="0.2">
      <c r="A581" s="15" t="s">
        <v>906</v>
      </c>
      <c r="B581" s="15"/>
      <c r="C581" s="15" t="s">
        <v>490</v>
      </c>
      <c r="D581" s="15"/>
      <c r="E581" s="77">
        <v>2401</v>
      </c>
      <c r="F581" s="77"/>
      <c r="G581" s="77">
        <v>0</v>
      </c>
      <c r="H581" s="77"/>
      <c r="I581" s="77">
        <v>20587</v>
      </c>
      <c r="J581" s="77"/>
      <c r="K581" s="77">
        <v>0</v>
      </c>
      <c r="L581" s="77"/>
      <c r="M581" s="77">
        <v>0</v>
      </c>
      <c r="N581" s="77"/>
      <c r="O581" s="77">
        <v>220</v>
      </c>
      <c r="P581" s="77"/>
      <c r="Q581" s="77">
        <v>11</v>
      </c>
      <c r="R581" s="77"/>
      <c r="S581" s="77">
        <v>0</v>
      </c>
      <c r="T581" s="77"/>
      <c r="U581" s="77">
        <v>0</v>
      </c>
      <c r="V581" s="77"/>
      <c r="W581" s="77">
        <v>0</v>
      </c>
      <c r="X581" s="77"/>
      <c r="Y581" s="77">
        <v>0</v>
      </c>
      <c r="Z581" s="77"/>
      <c r="AA581" s="77">
        <v>0</v>
      </c>
      <c r="AB581" s="77"/>
      <c r="AC581" s="77">
        <v>0</v>
      </c>
      <c r="AD581" s="77"/>
      <c r="AE581" s="77">
        <v>0</v>
      </c>
      <c r="AF581" s="77"/>
      <c r="AG581" s="77">
        <v>0</v>
      </c>
      <c r="AH581" s="77"/>
      <c r="AI581" s="77">
        <f t="shared" si="24"/>
        <v>23219</v>
      </c>
      <c r="AJ581" s="24"/>
      <c r="AK581" s="15" t="str">
        <f>'Gen Rev'!A581</f>
        <v>Sarahsville</v>
      </c>
      <c r="AL581" s="15" t="str">
        <f t="shared" si="25"/>
        <v>Sarahsville</v>
      </c>
      <c r="AM581" s="15" t="b">
        <f t="shared" si="26"/>
        <v>1</v>
      </c>
      <c r="AN581" s="30"/>
      <c r="AO581" s="30"/>
      <c r="AP581" s="30"/>
    </row>
    <row r="582" spans="1:42" s="37" customFormat="1" ht="12" customHeight="1" x14ac:dyDescent="0.2">
      <c r="A582" s="1" t="s">
        <v>25</v>
      </c>
      <c r="B582" s="1"/>
      <c r="C582" s="1" t="s">
        <v>742</v>
      </c>
      <c r="D582" s="15"/>
      <c r="E582" s="77">
        <v>58731.839999999997</v>
      </c>
      <c r="F582" s="77"/>
      <c r="G582" s="77">
        <v>120971.66</v>
      </c>
      <c r="H582" s="77"/>
      <c r="I582" s="77">
        <v>47619.94</v>
      </c>
      <c r="J582" s="77"/>
      <c r="K582" s="77">
        <v>0</v>
      </c>
      <c r="L582" s="77"/>
      <c r="M582" s="77">
        <v>85964.08</v>
      </c>
      <c r="N582" s="77"/>
      <c r="O582" s="77">
        <v>28412</v>
      </c>
      <c r="P582" s="77"/>
      <c r="Q582" s="77">
        <v>24.47</v>
      </c>
      <c r="R582" s="77"/>
      <c r="S582" s="77">
        <v>11791.06</v>
      </c>
      <c r="T582" s="77"/>
      <c r="U582" s="77">
        <v>0</v>
      </c>
      <c r="V582" s="77"/>
      <c r="W582" s="77">
        <v>0</v>
      </c>
      <c r="X582" s="77"/>
      <c r="Y582" s="77">
        <v>0</v>
      </c>
      <c r="Z582" s="77"/>
      <c r="AA582" s="77">
        <v>362560.21</v>
      </c>
      <c r="AB582" s="77"/>
      <c r="AC582" s="77">
        <v>0</v>
      </c>
      <c r="AD582" s="77"/>
      <c r="AE582" s="77">
        <v>0</v>
      </c>
      <c r="AF582" s="77"/>
      <c r="AG582" s="77">
        <v>0</v>
      </c>
      <c r="AH582" s="77"/>
      <c r="AI582" s="77">
        <f t="shared" si="24"/>
        <v>716075.26</v>
      </c>
      <c r="AJ582" s="24"/>
      <c r="AK582" s="15" t="str">
        <f>'Gen Rev'!A582</f>
        <v>Sardinia</v>
      </c>
      <c r="AL582" s="15" t="str">
        <f t="shared" si="25"/>
        <v>Sardinia</v>
      </c>
      <c r="AM582" s="15" t="b">
        <f t="shared" si="26"/>
        <v>1</v>
      </c>
      <c r="AN582" s="32"/>
      <c r="AO582" s="32"/>
      <c r="AP582" s="32"/>
    </row>
    <row r="583" spans="1:42" s="37" customFormat="1" ht="12" customHeight="1" x14ac:dyDescent="0.2">
      <c r="A583" s="15" t="s">
        <v>673</v>
      </c>
      <c r="B583" s="15"/>
      <c r="C583" s="15" t="s">
        <v>666</v>
      </c>
      <c r="D583" s="15"/>
      <c r="E583" s="77">
        <v>6686</v>
      </c>
      <c r="F583" s="77"/>
      <c r="G583" s="77">
        <v>0</v>
      </c>
      <c r="H583" s="77"/>
      <c r="I583" s="77">
        <v>39809</v>
      </c>
      <c r="J583" s="77"/>
      <c r="K583" s="77">
        <v>0</v>
      </c>
      <c r="L583" s="77"/>
      <c r="M583" s="77">
        <v>0</v>
      </c>
      <c r="N583" s="77"/>
      <c r="O583" s="77">
        <v>247</v>
      </c>
      <c r="P583" s="77"/>
      <c r="Q583" s="77">
        <v>438</v>
      </c>
      <c r="R583" s="77"/>
      <c r="S583" s="77">
        <v>14731</v>
      </c>
      <c r="T583" s="77"/>
      <c r="U583" s="77">
        <v>0</v>
      </c>
      <c r="V583" s="77"/>
      <c r="W583" s="77">
        <v>0</v>
      </c>
      <c r="X583" s="77"/>
      <c r="Y583" s="77">
        <v>0</v>
      </c>
      <c r="Z583" s="77"/>
      <c r="AA583" s="77">
        <v>0</v>
      </c>
      <c r="AB583" s="77"/>
      <c r="AC583" s="77">
        <v>0</v>
      </c>
      <c r="AD583" s="77"/>
      <c r="AE583" s="77">
        <v>0</v>
      </c>
      <c r="AF583" s="77"/>
      <c r="AG583" s="77">
        <v>0</v>
      </c>
      <c r="AH583" s="77"/>
      <c r="AI583" s="77">
        <f t="shared" si="24"/>
        <v>61911</v>
      </c>
      <c r="AJ583" s="24"/>
      <c r="AK583" s="15" t="str">
        <f>'Gen Rev'!A583</f>
        <v>Savannah</v>
      </c>
      <c r="AL583" s="15" t="str">
        <f t="shared" si="25"/>
        <v>Savannah</v>
      </c>
      <c r="AM583" s="15" t="b">
        <f t="shared" si="26"/>
        <v>1</v>
      </c>
      <c r="AN583" s="15"/>
      <c r="AO583" s="15"/>
      <c r="AP583" s="15"/>
    </row>
    <row r="584" spans="1:42" ht="12" customHeight="1" x14ac:dyDescent="0.2">
      <c r="A584" s="15" t="s">
        <v>406</v>
      </c>
      <c r="C584" s="15" t="s">
        <v>403</v>
      </c>
      <c r="E584" s="77">
        <v>56020</v>
      </c>
      <c r="F584" s="77"/>
      <c r="G584" s="77">
        <v>60084</v>
      </c>
      <c r="H584" s="77"/>
      <c r="I584" s="77">
        <v>55803</v>
      </c>
      <c r="J584" s="77"/>
      <c r="K584" s="77">
        <v>0</v>
      </c>
      <c r="L584" s="77"/>
      <c r="M584" s="77">
        <v>60</v>
      </c>
      <c r="N584" s="77"/>
      <c r="O584" s="77">
        <v>39468</v>
      </c>
      <c r="P584" s="77"/>
      <c r="Q584" s="77">
        <v>979</v>
      </c>
      <c r="R584" s="77"/>
      <c r="S584" s="77">
        <v>15060</v>
      </c>
      <c r="T584" s="77"/>
      <c r="U584" s="77">
        <v>0</v>
      </c>
      <c r="V584" s="77"/>
      <c r="W584" s="77">
        <v>0</v>
      </c>
      <c r="X584" s="77"/>
      <c r="Y584" s="77">
        <v>0</v>
      </c>
      <c r="Z584" s="77"/>
      <c r="AA584" s="77">
        <v>0</v>
      </c>
      <c r="AB584" s="77"/>
      <c r="AC584" s="77">
        <v>0</v>
      </c>
      <c r="AD584" s="77"/>
      <c r="AE584" s="77">
        <v>0</v>
      </c>
      <c r="AF584" s="77"/>
      <c r="AG584" s="77">
        <v>0</v>
      </c>
      <c r="AH584" s="77"/>
      <c r="AI584" s="77">
        <f t="shared" si="24"/>
        <v>227474</v>
      </c>
      <c r="AJ584" s="24"/>
      <c r="AK584" s="15" t="str">
        <f>'Gen Rev'!A584</f>
        <v>Scio</v>
      </c>
      <c r="AL584" s="15" t="str">
        <f t="shared" si="25"/>
        <v>Scio</v>
      </c>
      <c r="AM584" s="15" t="b">
        <f t="shared" si="26"/>
        <v>1</v>
      </c>
      <c r="AN584" s="31"/>
      <c r="AO584" s="31"/>
      <c r="AP584" s="31"/>
    </row>
    <row r="585" spans="1:42" s="31" customFormat="1" ht="12" customHeight="1" x14ac:dyDescent="0.2">
      <c r="A585" s="1" t="s">
        <v>574</v>
      </c>
      <c r="B585" s="1"/>
      <c r="C585" s="1" t="s">
        <v>572</v>
      </c>
      <c r="D585" s="15"/>
      <c r="E585" s="77">
        <v>17220.22</v>
      </c>
      <c r="F585" s="77"/>
      <c r="G585" s="77">
        <v>0</v>
      </c>
      <c r="H585" s="77"/>
      <c r="I585" s="77">
        <v>35472.76</v>
      </c>
      <c r="J585" s="77"/>
      <c r="K585" s="77">
        <v>0</v>
      </c>
      <c r="L585" s="77"/>
      <c r="M585" s="77">
        <v>57758</v>
      </c>
      <c r="N585" s="77"/>
      <c r="O585" s="77">
        <v>0</v>
      </c>
      <c r="P585" s="77"/>
      <c r="Q585" s="77">
        <v>83.47</v>
      </c>
      <c r="R585" s="77"/>
      <c r="S585" s="77">
        <v>13747.13</v>
      </c>
      <c r="T585" s="77"/>
      <c r="U585" s="77">
        <v>0</v>
      </c>
      <c r="V585" s="77"/>
      <c r="W585" s="77">
        <v>0</v>
      </c>
      <c r="X585" s="77"/>
      <c r="Y585" s="77">
        <v>0</v>
      </c>
      <c r="Z585" s="77"/>
      <c r="AA585" s="77">
        <v>9809.5</v>
      </c>
      <c r="AB585" s="77"/>
      <c r="AC585" s="77">
        <v>18650</v>
      </c>
      <c r="AD585" s="77"/>
      <c r="AE585" s="77">
        <v>0</v>
      </c>
      <c r="AF585" s="77"/>
      <c r="AG585" s="77">
        <v>12631.82</v>
      </c>
      <c r="AH585" s="77"/>
      <c r="AI585" s="77">
        <f t="shared" si="24"/>
        <v>165372.90000000002</v>
      </c>
      <c r="AJ585" s="24"/>
      <c r="AK585" s="15" t="str">
        <f>'Gen Rev'!A585</f>
        <v>Scott</v>
      </c>
      <c r="AL585" s="15" t="str">
        <f t="shared" si="25"/>
        <v>Scott</v>
      </c>
      <c r="AM585" s="15" t="b">
        <f t="shared" si="26"/>
        <v>1</v>
      </c>
      <c r="AN585" s="15"/>
      <c r="AO585" s="15"/>
      <c r="AP585" s="15"/>
    </row>
    <row r="586" spans="1:42" ht="12" customHeight="1" x14ac:dyDescent="0.2">
      <c r="A586" s="15" t="s">
        <v>674</v>
      </c>
      <c r="C586" s="15" t="s">
        <v>659</v>
      </c>
      <c r="E586" s="77">
        <v>195606</v>
      </c>
      <c r="F586" s="77"/>
      <c r="G586" s="77">
        <v>0</v>
      </c>
      <c r="H586" s="77"/>
      <c r="I586" s="77">
        <v>24300</v>
      </c>
      <c r="J586" s="77"/>
      <c r="K586" s="77">
        <v>0</v>
      </c>
      <c r="L586" s="77"/>
      <c r="M586" s="77">
        <v>8150</v>
      </c>
      <c r="N586" s="77"/>
      <c r="O586" s="77">
        <v>24197</v>
      </c>
      <c r="P586" s="77"/>
      <c r="Q586" s="77">
        <v>0</v>
      </c>
      <c r="R586" s="77"/>
      <c r="S586" s="77">
        <v>17348</v>
      </c>
      <c r="T586" s="77"/>
      <c r="U586" s="77">
        <v>0</v>
      </c>
      <c r="V586" s="77"/>
      <c r="W586" s="77">
        <v>0</v>
      </c>
      <c r="X586" s="77"/>
      <c r="Y586" s="77">
        <v>0</v>
      </c>
      <c r="Z586" s="77"/>
      <c r="AA586" s="77">
        <f>6666+29158</f>
        <v>35824</v>
      </c>
      <c r="AB586" s="77"/>
      <c r="AC586" s="77">
        <v>0</v>
      </c>
      <c r="AD586" s="77"/>
      <c r="AE586" s="77">
        <v>0</v>
      </c>
      <c r="AF586" s="77"/>
      <c r="AG586" s="77">
        <v>0</v>
      </c>
      <c r="AH586" s="77"/>
      <c r="AI586" s="77">
        <f t="shared" si="24"/>
        <v>305425</v>
      </c>
      <c r="AJ586" s="24"/>
      <c r="AK586" s="15" t="str">
        <f>'Gen Rev'!A586</f>
        <v>Seaman</v>
      </c>
      <c r="AL586" s="15" t="str">
        <f t="shared" si="25"/>
        <v>Seaman</v>
      </c>
      <c r="AM586" s="15" t="b">
        <f t="shared" si="26"/>
        <v>1</v>
      </c>
    </row>
    <row r="587" spans="1:42" ht="12" customHeight="1" x14ac:dyDescent="0.2">
      <c r="A587" s="15" t="s">
        <v>461</v>
      </c>
      <c r="C587" s="15" t="s">
        <v>462</v>
      </c>
      <c r="E587" s="77">
        <v>1962403</v>
      </c>
      <c r="F587" s="77"/>
      <c r="G587" s="77">
        <v>0</v>
      </c>
      <c r="H587" s="77"/>
      <c r="I587" s="77">
        <f>315560+49084</f>
        <v>364644</v>
      </c>
      <c r="J587" s="77"/>
      <c r="K587" s="77">
        <v>29</v>
      </c>
      <c r="L587" s="77"/>
      <c r="M587" s="77">
        <v>107936</v>
      </c>
      <c r="N587" s="77"/>
      <c r="O587" s="77">
        <v>69253</v>
      </c>
      <c r="P587" s="77"/>
      <c r="Q587" s="77">
        <v>55</v>
      </c>
      <c r="R587" s="77"/>
      <c r="S587" s="77">
        <v>34103</v>
      </c>
      <c r="T587" s="77"/>
      <c r="U587" s="77">
        <v>0</v>
      </c>
      <c r="V587" s="77"/>
      <c r="W587" s="77">
        <v>0</v>
      </c>
      <c r="X587" s="77"/>
      <c r="Y587" s="77">
        <v>0</v>
      </c>
      <c r="Z587" s="77"/>
      <c r="AA587" s="77">
        <v>0</v>
      </c>
      <c r="AB587" s="77"/>
      <c r="AC587" s="77">
        <v>0</v>
      </c>
      <c r="AD587" s="77"/>
      <c r="AE587" s="77">
        <v>694836</v>
      </c>
      <c r="AF587" s="77"/>
      <c r="AG587" s="77">
        <v>0</v>
      </c>
      <c r="AH587" s="77"/>
      <c r="AI587" s="77">
        <f t="shared" si="24"/>
        <v>3233259</v>
      </c>
      <c r="AJ587" s="24"/>
      <c r="AK587" s="15" t="str">
        <f>'Gen Rev'!A587</f>
        <v>Sebring</v>
      </c>
      <c r="AL587" s="15" t="str">
        <f t="shared" si="25"/>
        <v>Sebring</v>
      </c>
      <c r="AM587" s="15" t="b">
        <f t="shared" si="26"/>
        <v>1</v>
      </c>
    </row>
    <row r="588" spans="1:42" ht="12" customHeight="1" x14ac:dyDescent="0.2">
      <c r="A588" s="1" t="s">
        <v>90</v>
      </c>
      <c r="B588" s="1"/>
      <c r="C588" s="1" t="s">
        <v>762</v>
      </c>
      <c r="E588" s="77">
        <v>33328.06</v>
      </c>
      <c r="F588" s="77"/>
      <c r="G588" s="77">
        <v>0</v>
      </c>
      <c r="H588" s="77"/>
      <c r="I588" s="77">
        <v>48382.879999999997</v>
      </c>
      <c r="J588" s="77"/>
      <c r="K588" s="77">
        <v>25744.38</v>
      </c>
      <c r="L588" s="77"/>
      <c r="M588" s="77">
        <v>20900</v>
      </c>
      <c r="N588" s="77"/>
      <c r="O588" s="77">
        <v>8325</v>
      </c>
      <c r="P588" s="77"/>
      <c r="Q588" s="77">
        <v>990.27</v>
      </c>
      <c r="R588" s="77"/>
      <c r="S588" s="77">
        <v>128049.27</v>
      </c>
      <c r="T588" s="77"/>
      <c r="U588" s="77">
        <v>0</v>
      </c>
      <c r="V588" s="77"/>
      <c r="W588" s="77">
        <v>0</v>
      </c>
      <c r="X588" s="77"/>
      <c r="Y588" s="77">
        <v>0</v>
      </c>
      <c r="Z588" s="77"/>
      <c r="AA588" s="77">
        <v>825.12</v>
      </c>
      <c r="AB588" s="77"/>
      <c r="AC588" s="77">
        <v>0</v>
      </c>
      <c r="AD588" s="77"/>
      <c r="AE588" s="77">
        <v>0</v>
      </c>
      <c r="AF588" s="77"/>
      <c r="AG588" s="77">
        <v>0</v>
      </c>
      <c r="AH588" s="77"/>
      <c r="AI588" s="77">
        <f t="shared" si="24"/>
        <v>266544.98</v>
      </c>
      <c r="AJ588" s="24"/>
      <c r="AK588" s="15" t="str">
        <f>'Gen Rev'!A588</f>
        <v>Senecaville</v>
      </c>
      <c r="AL588" s="15" t="str">
        <f t="shared" si="25"/>
        <v>Senecaville</v>
      </c>
      <c r="AM588" s="15" t="b">
        <f t="shared" si="26"/>
        <v>1</v>
      </c>
      <c r="AN588" s="30"/>
      <c r="AO588" s="30"/>
      <c r="AP588" s="30"/>
    </row>
    <row r="589" spans="1:42" ht="12" customHeight="1" x14ac:dyDescent="0.2">
      <c r="A589" s="1" t="s">
        <v>27</v>
      </c>
      <c r="B589" s="1"/>
      <c r="C589" s="1" t="s">
        <v>743</v>
      </c>
      <c r="E589" s="77">
        <v>30826.46</v>
      </c>
      <c r="F589" s="77"/>
      <c r="G589" s="77">
        <v>0</v>
      </c>
      <c r="H589" s="77"/>
      <c r="I589" s="77">
        <v>66525.210000000006</v>
      </c>
      <c r="J589" s="77"/>
      <c r="K589" s="77">
        <v>0</v>
      </c>
      <c r="L589" s="77"/>
      <c r="M589" s="77">
        <v>30942.42</v>
      </c>
      <c r="N589" s="77"/>
      <c r="O589" s="77">
        <v>29233.79</v>
      </c>
      <c r="P589" s="77"/>
      <c r="Q589" s="77">
        <v>307.35000000000002</v>
      </c>
      <c r="R589" s="77"/>
      <c r="S589" s="77">
        <v>1910.85</v>
      </c>
      <c r="T589" s="77"/>
      <c r="U589" s="77">
        <v>0</v>
      </c>
      <c r="V589" s="77"/>
      <c r="W589" s="77">
        <v>0</v>
      </c>
      <c r="X589" s="77"/>
      <c r="Y589" s="77">
        <v>0</v>
      </c>
      <c r="Z589" s="77"/>
      <c r="AA589" s="77">
        <v>0</v>
      </c>
      <c r="AB589" s="77"/>
      <c r="AC589" s="77">
        <v>0</v>
      </c>
      <c r="AD589" s="77"/>
      <c r="AE589" s="77">
        <v>10637.2</v>
      </c>
      <c r="AF589" s="77"/>
      <c r="AG589" s="77">
        <v>0</v>
      </c>
      <c r="AH589" s="77"/>
      <c r="AI589" s="77">
        <f t="shared" si="24"/>
        <v>170383.28000000003</v>
      </c>
      <c r="AJ589" s="24"/>
      <c r="AK589" s="15" t="str">
        <f>'Gen Rev'!A589</f>
        <v>Seven Mile</v>
      </c>
      <c r="AL589" s="15" t="str">
        <f t="shared" si="25"/>
        <v>Seven Mile</v>
      </c>
      <c r="AM589" s="15" t="b">
        <f t="shared" si="26"/>
        <v>1</v>
      </c>
      <c r="AN589" s="30"/>
      <c r="AO589" s="30"/>
      <c r="AP589" s="30"/>
    </row>
    <row r="590" spans="1:42" ht="12" customHeight="1" x14ac:dyDescent="0.2">
      <c r="A590" s="1" t="s">
        <v>154</v>
      </c>
      <c r="B590" s="1"/>
      <c r="C590" s="1" t="s">
        <v>781</v>
      </c>
      <c r="E590" s="77">
        <v>313900.34999999998</v>
      </c>
      <c r="F590" s="77"/>
      <c r="G590" s="77">
        <v>1035294.44</v>
      </c>
      <c r="H590" s="77"/>
      <c r="I590" s="77">
        <v>306837.63</v>
      </c>
      <c r="J590" s="77"/>
      <c r="K590" s="77">
        <v>1116675.8799999999</v>
      </c>
      <c r="L590" s="77"/>
      <c r="M590" s="77">
        <v>200</v>
      </c>
      <c r="N590" s="77"/>
      <c r="O590" s="77">
        <v>4433</v>
      </c>
      <c r="P590" s="77"/>
      <c r="Q590" s="77">
        <v>9804.18</v>
      </c>
      <c r="R590" s="77"/>
      <c r="S590" s="77">
        <v>311501.38</v>
      </c>
      <c r="T590" s="77"/>
      <c r="U590" s="77">
        <v>0</v>
      </c>
      <c r="V590" s="77"/>
      <c r="W590" s="77">
        <v>0</v>
      </c>
      <c r="X590" s="77"/>
      <c r="Y590" s="77">
        <v>0</v>
      </c>
      <c r="Z590" s="77"/>
      <c r="AA590" s="77">
        <v>987415.01</v>
      </c>
      <c r="AB590" s="77"/>
      <c r="AC590" s="77">
        <v>0</v>
      </c>
      <c r="AD590" s="77"/>
      <c r="AE590" s="77">
        <v>0</v>
      </c>
      <c r="AF590" s="77"/>
      <c r="AG590" s="77">
        <v>0</v>
      </c>
      <c r="AH590" s="77"/>
      <c r="AI590" s="77">
        <f t="shared" si="24"/>
        <v>4086061.87</v>
      </c>
      <c r="AJ590" s="24"/>
      <c r="AK590" s="15" t="str">
        <f>'Gen Rev'!A590</f>
        <v>Seville</v>
      </c>
      <c r="AL590" s="15" t="str">
        <f t="shared" si="25"/>
        <v>Seville</v>
      </c>
      <c r="AM590" s="15" t="b">
        <f t="shared" si="26"/>
        <v>1</v>
      </c>
    </row>
    <row r="591" spans="1:42" ht="12" customHeight="1" x14ac:dyDescent="0.2">
      <c r="A591" s="1" t="s">
        <v>20</v>
      </c>
      <c r="B591" s="1"/>
      <c r="C591" s="1" t="s">
        <v>741</v>
      </c>
      <c r="E591" s="77">
        <v>467314.82</v>
      </c>
      <c r="F591" s="77"/>
      <c r="G591" s="77">
        <v>0</v>
      </c>
      <c r="H591" s="77"/>
      <c r="I591" s="77">
        <v>423632.87</v>
      </c>
      <c r="J591" s="77"/>
      <c r="K591" s="77">
        <v>0</v>
      </c>
      <c r="L591" s="77"/>
      <c r="M591" s="77">
        <v>177318.48</v>
      </c>
      <c r="N591" s="77"/>
      <c r="O591" s="77">
        <v>10135.5</v>
      </c>
      <c r="P591" s="77"/>
      <c r="Q591" s="77">
        <v>604.82000000000005</v>
      </c>
      <c r="R591" s="77"/>
      <c r="S591" s="77">
        <v>8087.96</v>
      </c>
      <c r="T591" s="77"/>
      <c r="U591" s="77">
        <v>0</v>
      </c>
      <c r="V591" s="77"/>
      <c r="W591" s="77">
        <v>0</v>
      </c>
      <c r="X591" s="77"/>
      <c r="Y591" s="77">
        <v>0</v>
      </c>
      <c r="Z591" s="77"/>
      <c r="AA591" s="77">
        <v>2389</v>
      </c>
      <c r="AB591" s="77"/>
      <c r="AC591" s="77">
        <v>0</v>
      </c>
      <c r="AD591" s="77"/>
      <c r="AE591" s="77">
        <v>0</v>
      </c>
      <c r="AF591" s="77"/>
      <c r="AG591" s="77">
        <v>0</v>
      </c>
      <c r="AH591" s="77"/>
      <c r="AI591" s="77">
        <f t="shared" si="24"/>
        <v>1089483.45</v>
      </c>
      <c r="AJ591" s="24"/>
      <c r="AK591" s="15" t="str">
        <f>'Gen Rev'!A591</f>
        <v>Shadyside</v>
      </c>
      <c r="AL591" s="15" t="str">
        <f t="shared" si="25"/>
        <v>Shadyside</v>
      </c>
      <c r="AM591" s="15" t="b">
        <f t="shared" si="26"/>
        <v>1</v>
      </c>
      <c r="AN591" s="30"/>
      <c r="AO591" s="30"/>
      <c r="AP591" s="30"/>
    </row>
    <row r="592" spans="1:42" ht="12" customHeight="1" x14ac:dyDescent="0.2">
      <c r="A592" s="1" t="s">
        <v>187</v>
      </c>
      <c r="B592" s="1"/>
      <c r="C592" s="1" t="s">
        <v>433</v>
      </c>
      <c r="E592" s="77">
        <v>81439.69</v>
      </c>
      <c r="F592" s="77"/>
      <c r="G592" s="77">
        <v>0</v>
      </c>
      <c r="H592" s="77"/>
      <c r="I592" s="77">
        <v>42799.34</v>
      </c>
      <c r="J592" s="77"/>
      <c r="K592" s="77">
        <v>0</v>
      </c>
      <c r="L592" s="77"/>
      <c r="M592" s="77">
        <v>6475.69</v>
      </c>
      <c r="N592" s="77"/>
      <c r="O592" s="77">
        <v>0</v>
      </c>
      <c r="P592" s="77"/>
      <c r="Q592" s="77">
        <v>261.14999999999998</v>
      </c>
      <c r="R592" s="77"/>
      <c r="S592" s="77">
        <v>383.43</v>
      </c>
      <c r="T592" s="77"/>
      <c r="U592" s="77">
        <v>0</v>
      </c>
      <c r="V592" s="77"/>
      <c r="W592" s="77">
        <v>0</v>
      </c>
      <c r="X592" s="77"/>
      <c r="Y592" s="77">
        <v>0</v>
      </c>
      <c r="Z592" s="77"/>
      <c r="AA592" s="77">
        <v>0</v>
      </c>
      <c r="AB592" s="77"/>
      <c r="AC592" s="77">
        <v>0</v>
      </c>
      <c r="AD592" s="77"/>
      <c r="AE592" s="77">
        <v>10516.15</v>
      </c>
      <c r="AF592" s="77"/>
      <c r="AG592" s="77">
        <v>0</v>
      </c>
      <c r="AH592" s="77"/>
      <c r="AI592" s="77">
        <f t="shared" si="24"/>
        <v>141875.44999999998</v>
      </c>
      <c r="AJ592" s="24"/>
      <c r="AK592" s="15" t="str">
        <f>'Gen Rev'!A592</f>
        <v>Shawnee</v>
      </c>
      <c r="AL592" s="15" t="str">
        <f t="shared" si="25"/>
        <v>Shawnee</v>
      </c>
      <c r="AM592" s="15" t="b">
        <f t="shared" si="26"/>
        <v>1</v>
      </c>
    </row>
    <row r="593" spans="1:42" ht="12" customHeight="1" x14ac:dyDescent="0.2">
      <c r="A593" s="1" t="s">
        <v>345</v>
      </c>
      <c r="B593" s="1"/>
      <c r="C593" s="1" t="s">
        <v>343</v>
      </c>
      <c r="E593" s="77">
        <v>308929.25</v>
      </c>
      <c r="F593" s="77"/>
      <c r="G593" s="77">
        <v>438214.15</v>
      </c>
      <c r="H593" s="77"/>
      <c r="I593" s="77">
        <v>243039.46</v>
      </c>
      <c r="J593" s="77"/>
      <c r="K593" s="77">
        <v>150000</v>
      </c>
      <c r="L593" s="77"/>
      <c r="M593" s="77">
        <v>2400.0300000000002</v>
      </c>
      <c r="N593" s="77"/>
      <c r="O593" s="77">
        <v>91466.4</v>
      </c>
      <c r="P593" s="77"/>
      <c r="Q593" s="77">
        <v>78.53</v>
      </c>
      <c r="R593" s="77"/>
      <c r="S593" s="77">
        <v>25926.43</v>
      </c>
      <c r="T593" s="77"/>
      <c r="U593" s="77">
        <v>0</v>
      </c>
      <c r="V593" s="77"/>
      <c r="W593" s="77">
        <v>0</v>
      </c>
      <c r="X593" s="77"/>
      <c r="Y593" s="77">
        <v>0</v>
      </c>
      <c r="Z593" s="77"/>
      <c r="AA593" s="77">
        <v>50000</v>
      </c>
      <c r="AB593" s="77"/>
      <c r="AC593" s="77">
        <v>0</v>
      </c>
      <c r="AD593" s="77"/>
      <c r="AE593" s="77">
        <v>352000</v>
      </c>
      <c r="AF593" s="77"/>
      <c r="AG593" s="77">
        <v>0</v>
      </c>
      <c r="AH593" s="77"/>
      <c r="AI593" s="77">
        <f t="shared" si="24"/>
        <v>1662054.2499999998</v>
      </c>
      <c r="AJ593" s="24"/>
      <c r="AK593" s="15" t="str">
        <f>'Gen Rev'!A593</f>
        <v>Shawnee Hills</v>
      </c>
      <c r="AL593" s="15" t="str">
        <f t="shared" si="25"/>
        <v>Shawnee Hills</v>
      </c>
      <c r="AM593" s="15" t="b">
        <f t="shared" si="26"/>
        <v>1</v>
      </c>
    </row>
    <row r="594" spans="1:42" ht="12" customHeight="1" x14ac:dyDescent="0.2">
      <c r="A594" s="15" t="s">
        <v>452</v>
      </c>
      <c r="C594" s="15" t="s">
        <v>451</v>
      </c>
      <c r="E594" s="77">
        <v>552130</v>
      </c>
      <c r="F594" s="77"/>
      <c r="G594" s="77">
        <v>3536867</v>
      </c>
      <c r="H594" s="77"/>
      <c r="I594" s="77">
        <v>1035267</v>
      </c>
      <c r="J594" s="77"/>
      <c r="K594" s="77">
        <v>161987</v>
      </c>
      <c r="L594" s="77"/>
      <c r="M594" s="77">
        <v>114410</v>
      </c>
      <c r="N594" s="77"/>
      <c r="O594" s="77">
        <v>567739</v>
      </c>
      <c r="P594" s="77"/>
      <c r="Q594" s="77">
        <v>578</v>
      </c>
      <c r="R594" s="77"/>
      <c r="S594" s="77">
        <v>88729</v>
      </c>
      <c r="T594" s="77"/>
      <c r="U594" s="77">
        <v>0</v>
      </c>
      <c r="V594" s="77"/>
      <c r="W594" s="77">
        <v>775000</v>
      </c>
      <c r="X594" s="77"/>
      <c r="Y594" s="77">
        <v>0</v>
      </c>
      <c r="Z594" s="77"/>
      <c r="AA594" s="77">
        <v>1198163</v>
      </c>
      <c r="AB594" s="77"/>
      <c r="AC594" s="77">
        <v>0</v>
      </c>
      <c r="AD594" s="77"/>
      <c r="AE594" s="77">
        <v>825</v>
      </c>
      <c r="AF594" s="77"/>
      <c r="AG594" s="77">
        <v>0</v>
      </c>
      <c r="AH594" s="77"/>
      <c r="AI594" s="77">
        <f t="shared" si="24"/>
        <v>8031695</v>
      </c>
      <c r="AJ594" s="24"/>
      <c r="AK594" s="15" t="str">
        <f>'Gen Rev'!A594</f>
        <v>Sheffield</v>
      </c>
      <c r="AL594" s="15" t="str">
        <f t="shared" si="25"/>
        <v>Sheffield</v>
      </c>
      <c r="AM594" s="15" t="b">
        <f t="shared" si="26"/>
        <v>1</v>
      </c>
    </row>
    <row r="595" spans="1:42" s="31" customFormat="1" ht="12" customHeight="1" x14ac:dyDescent="0.2">
      <c r="A595" s="1" t="s">
        <v>31</v>
      </c>
      <c r="B595" s="1"/>
      <c r="C595" s="1" t="s">
        <v>744</v>
      </c>
      <c r="D595" s="15"/>
      <c r="E595" s="77">
        <v>5804.49</v>
      </c>
      <c r="F595" s="77"/>
      <c r="G595" s="77">
        <v>20077.2</v>
      </c>
      <c r="H595" s="77"/>
      <c r="I595" s="77">
        <v>34972.47</v>
      </c>
      <c r="J595" s="77"/>
      <c r="K595" s="77">
        <v>0</v>
      </c>
      <c r="L595" s="77"/>
      <c r="M595" s="77">
        <v>9503</v>
      </c>
      <c r="N595" s="77"/>
      <c r="O595" s="77">
        <v>745.98</v>
      </c>
      <c r="P595" s="77"/>
      <c r="Q595" s="77">
        <v>96.79</v>
      </c>
      <c r="R595" s="77"/>
      <c r="S595" s="77">
        <v>3900</v>
      </c>
      <c r="T595" s="77"/>
      <c r="U595" s="77">
        <v>0</v>
      </c>
      <c r="V595" s="77"/>
      <c r="W595" s="77">
        <v>0</v>
      </c>
      <c r="X595" s="77"/>
      <c r="Y595" s="77">
        <v>150</v>
      </c>
      <c r="Z595" s="77"/>
      <c r="AA595" s="77">
        <v>5000</v>
      </c>
      <c r="AB595" s="77"/>
      <c r="AC595" s="77">
        <v>0</v>
      </c>
      <c r="AD595" s="77"/>
      <c r="AE595" s="77">
        <v>253.59</v>
      </c>
      <c r="AF595" s="77"/>
      <c r="AG595" s="77">
        <v>1075</v>
      </c>
      <c r="AH595" s="77"/>
      <c r="AI595" s="77">
        <f t="shared" si="24"/>
        <v>81578.51999999999</v>
      </c>
      <c r="AJ595" s="24"/>
      <c r="AK595" s="15" t="str">
        <f>'Gen Rev'!A595</f>
        <v>Sherrodsville</v>
      </c>
      <c r="AL595" s="15" t="str">
        <f t="shared" si="25"/>
        <v>Sherrodsville</v>
      </c>
      <c r="AM595" s="15" t="b">
        <f t="shared" si="26"/>
        <v>1</v>
      </c>
    </row>
    <row r="596" spans="1:42" ht="12" customHeight="1" x14ac:dyDescent="0.2">
      <c r="A596" s="1" t="s">
        <v>56</v>
      </c>
      <c r="B596" s="1"/>
      <c r="C596" s="1" t="s">
        <v>753</v>
      </c>
      <c r="E596" s="77">
        <v>68676.47</v>
      </c>
      <c r="F596" s="77"/>
      <c r="G596" s="77">
        <v>71368.38</v>
      </c>
      <c r="H596" s="77"/>
      <c r="I596" s="77">
        <v>107733.08</v>
      </c>
      <c r="J596" s="77"/>
      <c r="K596" s="77">
        <v>0</v>
      </c>
      <c r="L596" s="77"/>
      <c r="M596" s="77">
        <v>73023.06</v>
      </c>
      <c r="N596" s="77"/>
      <c r="O596" s="77">
        <v>5396.95</v>
      </c>
      <c r="P596" s="77"/>
      <c r="Q596" s="77">
        <v>1033.02</v>
      </c>
      <c r="R596" s="77"/>
      <c r="S596" s="77">
        <v>24442.15</v>
      </c>
      <c r="T596" s="77"/>
      <c r="U596" s="77">
        <v>0</v>
      </c>
      <c r="V596" s="77"/>
      <c r="W596" s="77">
        <v>0</v>
      </c>
      <c r="X596" s="77"/>
      <c r="Y596" s="77">
        <v>0</v>
      </c>
      <c r="Z596" s="77"/>
      <c r="AA596" s="77">
        <v>20683.52</v>
      </c>
      <c r="AB596" s="77"/>
      <c r="AC596" s="77">
        <v>37150</v>
      </c>
      <c r="AD596" s="77"/>
      <c r="AE596" s="77">
        <v>0</v>
      </c>
      <c r="AF596" s="77"/>
      <c r="AG596" s="77">
        <v>0</v>
      </c>
      <c r="AH596" s="77"/>
      <c r="AI596" s="77">
        <f t="shared" si="24"/>
        <v>409506.63000000006</v>
      </c>
      <c r="AJ596" s="24"/>
      <c r="AK596" s="15" t="str">
        <f>'Gen Rev'!A596</f>
        <v>Sherwood</v>
      </c>
      <c r="AL596" s="15" t="str">
        <f t="shared" si="25"/>
        <v>Sherwood</v>
      </c>
      <c r="AM596" s="15" t="b">
        <f t="shared" si="26"/>
        <v>1</v>
      </c>
      <c r="AN596" s="30"/>
      <c r="AO596" s="30"/>
      <c r="AP596" s="30"/>
    </row>
    <row r="597" spans="1:42" ht="12" customHeight="1" x14ac:dyDescent="0.2">
      <c r="A597" s="15" t="s">
        <v>521</v>
      </c>
      <c r="C597" s="15" t="s">
        <v>519</v>
      </c>
      <c r="E597" s="77">
        <v>31790</v>
      </c>
      <c r="F597" s="77"/>
      <c r="G597" s="77">
        <v>0</v>
      </c>
      <c r="H597" s="77"/>
      <c r="I597" s="77">
        <v>83128</v>
      </c>
      <c r="J597" s="77"/>
      <c r="K597" s="77">
        <v>0</v>
      </c>
      <c r="L597" s="77"/>
      <c r="M597" s="77">
        <v>0</v>
      </c>
      <c r="N597" s="77"/>
      <c r="O597" s="77">
        <v>5626</v>
      </c>
      <c r="P597" s="77"/>
      <c r="Q597" s="77">
        <v>10</v>
      </c>
      <c r="R597" s="77"/>
      <c r="S597" s="77">
        <v>26645</v>
      </c>
      <c r="T597" s="77"/>
      <c r="U597" s="77">
        <v>0</v>
      </c>
      <c r="V597" s="77"/>
      <c r="W597" s="77">
        <v>0</v>
      </c>
      <c r="X597" s="77"/>
      <c r="Y597" s="77">
        <v>0</v>
      </c>
      <c r="Z597" s="77"/>
      <c r="AA597" s="77">
        <v>0</v>
      </c>
      <c r="AB597" s="77"/>
      <c r="AC597" s="77">
        <v>0</v>
      </c>
      <c r="AD597" s="77"/>
      <c r="AE597" s="77">
        <v>20814</v>
      </c>
      <c r="AF597" s="77"/>
      <c r="AG597" s="77">
        <v>0</v>
      </c>
      <c r="AH597" s="77"/>
      <c r="AI597" s="77">
        <f t="shared" si="24"/>
        <v>168013</v>
      </c>
      <c r="AJ597" s="24"/>
      <c r="AK597" s="15" t="str">
        <f>'Gen Rev'!A597</f>
        <v>Shiloh</v>
      </c>
      <c r="AL597" s="15" t="str">
        <f t="shared" si="25"/>
        <v>Shiloh</v>
      </c>
      <c r="AM597" s="15" t="b">
        <f t="shared" si="26"/>
        <v>1</v>
      </c>
    </row>
    <row r="598" spans="1:42" s="31" customFormat="1" ht="12" customHeight="1" x14ac:dyDescent="0.2">
      <c r="A598" s="15" t="s">
        <v>897</v>
      </c>
      <c r="B598" s="15"/>
      <c r="C598" s="15" t="s">
        <v>588</v>
      </c>
      <c r="D598" s="15"/>
      <c r="E598" s="77">
        <v>36562</v>
      </c>
      <c r="F598" s="77"/>
      <c r="G598" s="77">
        <v>243240</v>
      </c>
      <c r="H598" s="77"/>
      <c r="I598" s="77">
        <v>107451</v>
      </c>
      <c r="J598" s="77"/>
      <c r="K598" s="77">
        <v>8929</v>
      </c>
      <c r="L598" s="77"/>
      <c r="M598" s="77">
        <v>42685</v>
      </c>
      <c r="N598" s="77"/>
      <c r="O598" s="77">
        <v>10436</v>
      </c>
      <c r="P598" s="77"/>
      <c r="Q598" s="77">
        <v>201</v>
      </c>
      <c r="R598" s="77"/>
      <c r="S598" s="77">
        <v>32227</v>
      </c>
      <c r="T598" s="77"/>
      <c r="U598" s="77">
        <v>0</v>
      </c>
      <c r="V598" s="77"/>
      <c r="W598" s="77">
        <v>0</v>
      </c>
      <c r="X598" s="77"/>
      <c r="Y598" s="77">
        <v>0</v>
      </c>
      <c r="Z598" s="77"/>
      <c r="AA598" s="77">
        <v>5500</v>
      </c>
      <c r="AB598" s="77"/>
      <c r="AC598" s="77">
        <v>0</v>
      </c>
      <c r="AD598" s="77"/>
      <c r="AE598" s="77">
        <v>0</v>
      </c>
      <c r="AF598" s="77"/>
      <c r="AG598" s="77">
        <v>0</v>
      </c>
      <c r="AH598" s="77"/>
      <c r="AI598" s="77">
        <f t="shared" si="24"/>
        <v>487231</v>
      </c>
      <c r="AJ598" s="24"/>
      <c r="AK598" s="15" t="str">
        <f>'Gen Rev'!A598</f>
        <v>Shreve</v>
      </c>
      <c r="AL598" s="15" t="str">
        <f t="shared" si="25"/>
        <v>Shreve</v>
      </c>
      <c r="AM598" s="15" t="b">
        <f t="shared" si="26"/>
        <v>1</v>
      </c>
      <c r="AN598" s="15"/>
      <c r="AO598" s="15"/>
      <c r="AP598" s="15"/>
    </row>
    <row r="599" spans="1:42" ht="12" customHeight="1" x14ac:dyDescent="0.2">
      <c r="A599" s="15" t="s">
        <v>554</v>
      </c>
      <c r="C599" s="15" t="s">
        <v>549</v>
      </c>
      <c r="E599" s="77">
        <v>944866</v>
      </c>
      <c r="F599" s="77"/>
      <c r="G599" s="77">
        <v>485662</v>
      </c>
      <c r="H599" s="77"/>
      <c r="I599" s="77">
        <v>540985</v>
      </c>
      <c r="J599" s="77"/>
      <c r="K599" s="77">
        <v>19362</v>
      </c>
      <c r="L599" s="77"/>
      <c r="M599" s="77">
        <v>11362</v>
      </c>
      <c r="N599" s="77"/>
      <c r="O599" s="77">
        <v>68693</v>
      </c>
      <c r="P599" s="77"/>
      <c r="Q599" s="77">
        <v>1953</v>
      </c>
      <c r="R599" s="77"/>
      <c r="S599" s="77">
        <v>6215</v>
      </c>
      <c r="T599" s="77"/>
      <c r="U599" s="77">
        <v>0</v>
      </c>
      <c r="V599" s="77"/>
      <c r="W599" s="77">
        <v>0</v>
      </c>
      <c r="X599" s="77"/>
      <c r="Y599" s="77">
        <v>47581</v>
      </c>
      <c r="Z599" s="77"/>
      <c r="AA599" s="77">
        <v>20933</v>
      </c>
      <c r="AB599" s="77"/>
      <c r="AC599" s="77">
        <v>0</v>
      </c>
      <c r="AD599" s="77"/>
      <c r="AE599" s="77">
        <v>0</v>
      </c>
      <c r="AF599" s="77"/>
      <c r="AG599" s="77">
        <v>0</v>
      </c>
      <c r="AH599" s="77"/>
      <c r="AI599" s="77">
        <f t="shared" si="24"/>
        <v>2147612</v>
      </c>
      <c r="AJ599" s="24"/>
      <c r="AK599" s="15" t="str">
        <f>'Gen Rev'!A599</f>
        <v>Silver Lake</v>
      </c>
      <c r="AL599" s="15" t="str">
        <f t="shared" si="25"/>
        <v>Silver Lake</v>
      </c>
      <c r="AM599" s="15" t="b">
        <f t="shared" si="26"/>
        <v>1</v>
      </c>
    </row>
    <row r="600" spans="1:42" ht="12" customHeight="1" x14ac:dyDescent="0.2">
      <c r="A600" s="15" t="s">
        <v>941</v>
      </c>
      <c r="C600" s="15" t="s">
        <v>378</v>
      </c>
      <c r="E600" s="77">
        <v>614733</v>
      </c>
      <c r="F600" s="77"/>
      <c r="G600" s="77">
        <v>1353478</v>
      </c>
      <c r="H600" s="77"/>
      <c r="I600" s="77">
        <v>555568</v>
      </c>
      <c r="J600" s="77"/>
      <c r="K600" s="77">
        <v>0</v>
      </c>
      <c r="L600" s="77"/>
      <c r="M600" s="77">
        <v>330620</v>
      </c>
      <c r="N600" s="77"/>
      <c r="O600" s="77">
        <v>93524</v>
      </c>
      <c r="P600" s="77"/>
      <c r="Q600" s="77">
        <v>10740</v>
      </c>
      <c r="R600" s="77"/>
      <c r="S600" s="77">
        <v>34098</v>
      </c>
      <c r="T600" s="77"/>
      <c r="U600" s="77">
        <v>0</v>
      </c>
      <c r="V600" s="77"/>
      <c r="W600" s="77">
        <v>0</v>
      </c>
      <c r="X600" s="77"/>
      <c r="Y600" s="77">
        <v>2428</v>
      </c>
      <c r="Z600" s="77"/>
      <c r="AA600" s="77">
        <v>260500</v>
      </c>
      <c r="AB600" s="77"/>
      <c r="AC600" s="77">
        <v>0</v>
      </c>
      <c r="AD600" s="77"/>
      <c r="AE600" s="77">
        <v>0</v>
      </c>
      <c r="AF600" s="77"/>
      <c r="AG600" s="77">
        <v>0</v>
      </c>
      <c r="AH600" s="77"/>
      <c r="AI600" s="77">
        <f t="shared" si="24"/>
        <v>3255689</v>
      </c>
      <c r="AJ600" s="24"/>
      <c r="AK600" s="15" t="str">
        <f>'Gen Rev'!A600</f>
        <v>Silverton</v>
      </c>
      <c r="AL600" s="15" t="str">
        <f t="shared" si="25"/>
        <v>Silverton</v>
      </c>
      <c r="AM600" s="15" t="b">
        <f t="shared" si="26"/>
        <v>1</v>
      </c>
    </row>
    <row r="601" spans="1:42" ht="12" customHeight="1" x14ac:dyDescent="0.2">
      <c r="A601" s="15" t="s">
        <v>411</v>
      </c>
      <c r="C601" s="15" t="s">
        <v>409</v>
      </c>
      <c r="E601" s="77">
        <v>7105</v>
      </c>
      <c r="F601" s="77"/>
      <c r="G601" s="77">
        <v>0</v>
      </c>
      <c r="H601" s="77"/>
      <c r="I601" s="77">
        <f>16795+7207+6500</f>
        <v>30502</v>
      </c>
      <c r="J601" s="77"/>
      <c r="K601" s="77">
        <v>0</v>
      </c>
      <c r="L601" s="77"/>
      <c r="M601" s="77">
        <v>0</v>
      </c>
      <c r="N601" s="77"/>
      <c r="O601" s="77">
        <v>0</v>
      </c>
      <c r="P601" s="77"/>
      <c r="Q601" s="77">
        <v>0</v>
      </c>
      <c r="R601" s="77"/>
      <c r="S601" s="77">
        <f>79+69</f>
        <v>148</v>
      </c>
      <c r="T601" s="77"/>
      <c r="U601" s="77">
        <v>0</v>
      </c>
      <c r="V601" s="77"/>
      <c r="W601" s="77">
        <v>0</v>
      </c>
      <c r="X601" s="77"/>
      <c r="Y601" s="77">
        <v>0</v>
      </c>
      <c r="Z601" s="77"/>
      <c r="AA601" s="77">
        <v>0</v>
      </c>
      <c r="AB601" s="77"/>
      <c r="AC601" s="77">
        <v>0</v>
      </c>
      <c r="AD601" s="77"/>
      <c r="AE601" s="77">
        <v>0</v>
      </c>
      <c r="AF601" s="77"/>
      <c r="AG601" s="77">
        <v>0</v>
      </c>
      <c r="AH601" s="77"/>
      <c r="AI601" s="77">
        <f t="shared" si="24"/>
        <v>37755</v>
      </c>
      <c r="AJ601" s="24"/>
      <c r="AK601" s="15" t="str">
        <f>'Gen Rev'!A601</f>
        <v>Sinking Spring</v>
      </c>
      <c r="AL601" s="15" t="str">
        <f t="shared" si="25"/>
        <v>Sinking Spring</v>
      </c>
      <c r="AM601" s="15" t="b">
        <f t="shared" si="26"/>
        <v>1</v>
      </c>
      <c r="AN601" s="31"/>
      <c r="AO601" s="31"/>
      <c r="AP601" s="31"/>
    </row>
    <row r="602" spans="1:42" ht="12" customHeight="1" x14ac:dyDescent="0.2">
      <c r="A602" s="15" t="s">
        <v>594</v>
      </c>
      <c r="C602" s="15" t="s">
        <v>588</v>
      </c>
      <c r="D602" s="15" t="s">
        <v>879</v>
      </c>
      <c r="E602" s="77">
        <v>54310</v>
      </c>
      <c r="F602" s="77"/>
      <c r="G602" s="77">
        <v>516612</v>
      </c>
      <c r="H602" s="77"/>
      <c r="I602" s="77">
        <v>130034</v>
      </c>
      <c r="J602" s="77"/>
      <c r="K602" s="77">
        <v>13201</v>
      </c>
      <c r="L602" s="77"/>
      <c r="M602" s="77">
        <v>7085</v>
      </c>
      <c r="N602" s="77"/>
      <c r="O602" s="77">
        <v>28473</v>
      </c>
      <c r="P602" s="77"/>
      <c r="Q602" s="77">
        <v>344</v>
      </c>
      <c r="R602" s="77"/>
      <c r="S602" s="77">
        <v>4512</v>
      </c>
      <c r="T602" s="77"/>
      <c r="U602" s="77">
        <v>0</v>
      </c>
      <c r="V602" s="77"/>
      <c r="W602" s="77">
        <v>0</v>
      </c>
      <c r="X602" s="77"/>
      <c r="Y602" s="77">
        <v>0</v>
      </c>
      <c r="Z602" s="77"/>
      <c r="AA602" s="77">
        <v>111452</v>
      </c>
      <c r="AB602" s="77"/>
      <c r="AC602" s="77">
        <v>0</v>
      </c>
      <c r="AD602" s="77"/>
      <c r="AE602" s="77">
        <v>0</v>
      </c>
      <c r="AF602" s="77"/>
      <c r="AG602" s="77">
        <v>18856</v>
      </c>
      <c r="AH602" s="77"/>
      <c r="AI602" s="77">
        <f t="shared" si="24"/>
        <v>884879</v>
      </c>
      <c r="AJ602" s="24"/>
      <c r="AK602" s="15" t="str">
        <f>'Gen Rev'!A602</f>
        <v>Smithville</v>
      </c>
      <c r="AL602" s="15" t="str">
        <f t="shared" si="25"/>
        <v>Smithville</v>
      </c>
      <c r="AM602" s="15" t="b">
        <f t="shared" si="26"/>
        <v>1</v>
      </c>
    </row>
    <row r="603" spans="1:42" ht="12" hidden="1" customHeight="1" x14ac:dyDescent="0.2">
      <c r="A603" s="15" t="s">
        <v>502</v>
      </c>
      <c r="C603" s="15" t="s">
        <v>500</v>
      </c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>
        <f t="shared" si="24"/>
        <v>0</v>
      </c>
      <c r="AJ603" s="24"/>
      <c r="AK603" s="15" t="str">
        <f>'Gen Rev'!A603</f>
        <v>Somerset</v>
      </c>
      <c r="AL603" s="15" t="str">
        <f t="shared" si="25"/>
        <v>Somerset</v>
      </c>
      <c r="AM603" s="15" t="b">
        <f t="shared" si="26"/>
        <v>1</v>
      </c>
    </row>
    <row r="604" spans="1:42" ht="12" customHeight="1" x14ac:dyDescent="0.2">
      <c r="A604" s="1" t="s">
        <v>935</v>
      </c>
      <c r="B604" s="1"/>
      <c r="C604" s="1" t="s">
        <v>518</v>
      </c>
      <c r="E604" s="77">
        <v>11245.98</v>
      </c>
      <c r="F604" s="77"/>
      <c r="G604" s="77">
        <v>0</v>
      </c>
      <c r="H604" s="77"/>
      <c r="I604" s="77">
        <v>46474.559999999998</v>
      </c>
      <c r="J604" s="77"/>
      <c r="K604" s="77">
        <v>0</v>
      </c>
      <c r="L604" s="77"/>
      <c r="M604" s="77">
        <v>7114.5</v>
      </c>
      <c r="N604" s="77"/>
      <c r="O604" s="77">
        <v>1260.81</v>
      </c>
      <c r="P604" s="77"/>
      <c r="Q604" s="77">
        <v>98.06</v>
      </c>
      <c r="R604" s="77"/>
      <c r="S604" s="77">
        <v>282.52</v>
      </c>
      <c r="T604" s="77"/>
      <c r="U604" s="77">
        <v>0</v>
      </c>
      <c r="V604" s="77"/>
      <c r="W604" s="77">
        <v>0</v>
      </c>
      <c r="X604" s="77"/>
      <c r="Y604" s="77">
        <v>0</v>
      </c>
      <c r="Z604" s="77"/>
      <c r="AA604" s="77">
        <v>0</v>
      </c>
      <c r="AB604" s="77"/>
      <c r="AC604" s="77">
        <v>0</v>
      </c>
      <c r="AD604" s="77"/>
      <c r="AE604" s="77">
        <v>0</v>
      </c>
      <c r="AF604" s="77"/>
      <c r="AG604" s="77">
        <v>0</v>
      </c>
      <c r="AH604" s="77"/>
      <c r="AI604" s="77">
        <f t="shared" si="24"/>
        <v>66476.429999999993</v>
      </c>
      <c r="AJ604" s="37"/>
      <c r="AK604" s="15" t="str">
        <f>'Gen Rev'!A604</f>
        <v>Somerville</v>
      </c>
      <c r="AL604" s="15" t="str">
        <f t="shared" si="25"/>
        <v>Somerville</v>
      </c>
      <c r="AM604" s="15" t="b">
        <f t="shared" si="26"/>
        <v>1</v>
      </c>
    </row>
    <row r="605" spans="1:42" s="31" customFormat="1" ht="12" customHeight="1" x14ac:dyDescent="0.2">
      <c r="A605" s="24"/>
      <c r="B605" s="24"/>
      <c r="C605" s="24"/>
      <c r="D605" s="24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24"/>
      <c r="AK605" s="15"/>
      <c r="AL605" s="15"/>
      <c r="AM605" s="15"/>
      <c r="AN605" s="29"/>
      <c r="AO605" s="29"/>
      <c r="AP605" s="29"/>
    </row>
    <row r="606" spans="1:42" s="31" customFormat="1" ht="12" customHeight="1" x14ac:dyDescent="0.2">
      <c r="A606" s="24"/>
      <c r="B606" s="24"/>
      <c r="C606" s="24"/>
      <c r="D606" s="24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 t="s">
        <v>850</v>
      </c>
      <c r="AJ606" s="24"/>
      <c r="AK606" s="15"/>
      <c r="AL606" s="15"/>
      <c r="AM606" s="15"/>
      <c r="AN606" s="29"/>
      <c r="AO606" s="29"/>
      <c r="AP606" s="29"/>
    </row>
    <row r="607" spans="1:42" s="31" customFormat="1" ht="12" customHeight="1" x14ac:dyDescent="0.2">
      <c r="A607" s="24"/>
      <c r="B607" s="24"/>
      <c r="C607" s="24"/>
      <c r="D607" s="24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24"/>
      <c r="AK607" s="15"/>
      <c r="AL607" s="15"/>
      <c r="AM607" s="15"/>
      <c r="AN607" s="29"/>
      <c r="AO607" s="29"/>
      <c r="AP607" s="29"/>
    </row>
    <row r="608" spans="1:42" ht="12" customHeight="1" x14ac:dyDescent="0.2">
      <c r="A608" s="15" t="s">
        <v>898</v>
      </c>
      <c r="C608" s="15" t="s">
        <v>451</v>
      </c>
      <c r="E608" s="89">
        <v>82856</v>
      </c>
      <c r="F608" s="89"/>
      <c r="G608" s="89">
        <v>217303</v>
      </c>
      <c r="H608" s="89"/>
      <c r="I608" s="89">
        <v>448884</v>
      </c>
      <c r="J608" s="89"/>
      <c r="K608" s="89">
        <v>0</v>
      </c>
      <c r="L608" s="89"/>
      <c r="M608" s="89">
        <v>142646</v>
      </c>
      <c r="N608" s="89"/>
      <c r="O608" s="89">
        <v>32141</v>
      </c>
      <c r="P608" s="89"/>
      <c r="Q608" s="89">
        <v>2243</v>
      </c>
      <c r="R608" s="89"/>
      <c r="S608" s="89">
        <v>42137</v>
      </c>
      <c r="T608" s="89"/>
      <c r="U608" s="89">
        <v>0</v>
      </c>
      <c r="V608" s="89"/>
      <c r="W608" s="89">
        <v>0</v>
      </c>
      <c r="X608" s="89"/>
      <c r="Y608" s="89">
        <v>0</v>
      </c>
      <c r="Z608" s="89"/>
      <c r="AA608" s="89">
        <v>108000</v>
      </c>
      <c r="AB608" s="89"/>
      <c r="AC608" s="89">
        <v>40000</v>
      </c>
      <c r="AD608" s="89"/>
      <c r="AE608" s="89">
        <v>0</v>
      </c>
      <c r="AF608" s="89"/>
      <c r="AG608" s="89">
        <v>0</v>
      </c>
      <c r="AH608" s="89"/>
      <c r="AI608" s="89">
        <f t="shared" si="24"/>
        <v>1116210</v>
      </c>
      <c r="AJ608" s="24"/>
      <c r="AK608" s="15" t="str">
        <f>'Gen Rev'!A608</f>
        <v>South Amherst</v>
      </c>
      <c r="AL608" s="15" t="str">
        <f t="shared" si="25"/>
        <v>South Amherst</v>
      </c>
      <c r="AM608" s="15" t="b">
        <f t="shared" si="26"/>
        <v>1</v>
      </c>
    </row>
    <row r="609" spans="1:42" ht="12" customHeight="1" x14ac:dyDescent="0.2">
      <c r="A609" s="15" t="s">
        <v>268</v>
      </c>
      <c r="C609" s="15" t="s">
        <v>793</v>
      </c>
      <c r="E609" s="77">
        <v>67164.95</v>
      </c>
      <c r="F609" s="77"/>
      <c r="G609" s="77">
        <v>272880.88</v>
      </c>
      <c r="H609" s="77"/>
      <c r="I609" s="77">
        <v>124359.34</v>
      </c>
      <c r="J609" s="77"/>
      <c r="K609" s="77">
        <v>3248.5</v>
      </c>
      <c r="L609" s="77"/>
      <c r="M609" s="77">
        <v>143021.74</v>
      </c>
      <c r="N609" s="77"/>
      <c r="O609" s="77">
        <v>57712.44</v>
      </c>
      <c r="P609" s="77"/>
      <c r="Q609" s="77">
        <v>914.53</v>
      </c>
      <c r="R609" s="77"/>
      <c r="S609" s="77">
        <v>5339.5</v>
      </c>
      <c r="T609" s="77"/>
      <c r="U609" s="77">
        <v>0</v>
      </c>
      <c r="V609" s="77"/>
      <c r="W609" s="77">
        <v>0</v>
      </c>
      <c r="X609" s="77"/>
      <c r="Y609" s="77">
        <v>0</v>
      </c>
      <c r="Z609" s="77"/>
      <c r="AA609" s="77">
        <v>0</v>
      </c>
      <c r="AB609" s="77"/>
      <c r="AC609" s="77">
        <v>0</v>
      </c>
      <c r="AD609" s="77"/>
      <c r="AE609" s="77">
        <v>551.79999999999995</v>
      </c>
      <c r="AF609" s="77"/>
      <c r="AG609" s="77">
        <v>0</v>
      </c>
      <c r="AH609" s="77"/>
      <c r="AI609" s="77">
        <f t="shared" ref="AI609:AI672" si="27">SUM(E609:AG609)</f>
        <v>675193.68000000017</v>
      </c>
      <c r="AJ609" s="37"/>
      <c r="AK609" s="15" t="str">
        <f>'Gen Rev'!A609</f>
        <v>South Bloomfield</v>
      </c>
      <c r="AL609" s="15" t="str">
        <f t="shared" ref="AL609:AL672" si="28">A609</f>
        <v>South Bloomfield</v>
      </c>
      <c r="AM609" s="15" t="b">
        <f t="shared" ref="AM609:AM672" si="29">AK609=AL609</f>
        <v>1</v>
      </c>
    </row>
    <row r="610" spans="1:42" ht="12" customHeight="1" x14ac:dyDescent="0.2">
      <c r="A610" s="1" t="s">
        <v>821</v>
      </c>
      <c r="B610" s="1"/>
      <c r="C610" s="1" t="s">
        <v>746</v>
      </c>
      <c r="E610" s="77">
        <v>69161.53</v>
      </c>
      <c r="F610" s="77"/>
      <c r="G610" s="77">
        <v>476710.97</v>
      </c>
      <c r="H610" s="77"/>
      <c r="I610" s="77">
        <v>155607.85999999999</v>
      </c>
      <c r="J610" s="77"/>
      <c r="K610" s="77">
        <v>69768</v>
      </c>
      <c r="L610" s="77"/>
      <c r="M610" s="77">
        <v>15062.4</v>
      </c>
      <c r="N610" s="77"/>
      <c r="O610" s="77">
        <v>54658.9</v>
      </c>
      <c r="P610" s="77"/>
      <c r="Q610" s="77">
        <v>719.47</v>
      </c>
      <c r="R610" s="77"/>
      <c r="S610" s="77">
        <v>261693.31</v>
      </c>
      <c r="T610" s="77"/>
      <c r="U610" s="77">
        <v>0</v>
      </c>
      <c r="V610" s="77"/>
      <c r="W610" s="77">
        <v>0</v>
      </c>
      <c r="X610" s="77"/>
      <c r="Y610" s="77">
        <v>0</v>
      </c>
      <c r="Z610" s="77"/>
      <c r="AA610" s="77">
        <v>0</v>
      </c>
      <c r="AB610" s="77"/>
      <c r="AC610" s="77">
        <v>0</v>
      </c>
      <c r="AD610" s="77"/>
      <c r="AE610" s="77">
        <v>0</v>
      </c>
      <c r="AF610" s="77"/>
      <c r="AG610" s="77">
        <v>0</v>
      </c>
      <c r="AH610" s="77"/>
      <c r="AI610" s="77">
        <f t="shared" si="27"/>
        <v>1103382.44</v>
      </c>
      <c r="AJ610" s="37"/>
      <c r="AK610" s="15" t="str">
        <f>'Gen Rev'!A610</f>
        <v>South Charleston</v>
      </c>
      <c r="AL610" s="15" t="str">
        <f t="shared" si="28"/>
        <v>South Charleston</v>
      </c>
      <c r="AM610" s="15" t="b">
        <f t="shared" si="29"/>
        <v>1</v>
      </c>
    </row>
    <row r="611" spans="1:42" s="37" customFormat="1" ht="12" customHeight="1" x14ac:dyDescent="0.2">
      <c r="A611" s="1" t="s">
        <v>582</v>
      </c>
      <c r="B611" s="1"/>
      <c r="C611" s="1" t="s">
        <v>581</v>
      </c>
      <c r="D611" s="15"/>
      <c r="E611" s="77">
        <v>151006.38</v>
      </c>
      <c r="F611" s="77"/>
      <c r="G611" s="77">
        <v>1029410.79</v>
      </c>
      <c r="H611" s="77"/>
      <c r="I611" s="77">
        <v>209222.39999999999</v>
      </c>
      <c r="J611" s="77"/>
      <c r="K611" s="77">
        <v>0</v>
      </c>
      <c r="L611" s="77"/>
      <c r="M611" s="77">
        <v>28625</v>
      </c>
      <c r="N611" s="77"/>
      <c r="O611" s="77">
        <v>128622.81</v>
      </c>
      <c r="P611" s="77"/>
      <c r="Q611" s="77">
        <v>3323.35</v>
      </c>
      <c r="R611" s="77"/>
      <c r="S611" s="77">
        <v>140654.72</v>
      </c>
      <c r="T611" s="77"/>
      <c r="U611" s="77">
        <v>0</v>
      </c>
      <c r="V611" s="77"/>
      <c r="W611" s="77">
        <v>0</v>
      </c>
      <c r="X611" s="77"/>
      <c r="Y611" s="77">
        <v>0</v>
      </c>
      <c r="Z611" s="77"/>
      <c r="AA611" s="77">
        <v>0</v>
      </c>
      <c r="AB611" s="77"/>
      <c r="AC611" s="77">
        <v>0</v>
      </c>
      <c r="AD611" s="77"/>
      <c r="AE611" s="77">
        <v>0</v>
      </c>
      <c r="AF611" s="77"/>
      <c r="AG611" s="77">
        <v>0</v>
      </c>
      <c r="AH611" s="77"/>
      <c r="AI611" s="77">
        <f t="shared" si="27"/>
        <v>1690865.45</v>
      </c>
      <c r="AJ611" s="24"/>
      <c r="AK611" s="15" t="str">
        <f>'Gen Rev'!A611</f>
        <v>South Lebanon</v>
      </c>
      <c r="AL611" s="15" t="str">
        <f t="shared" si="28"/>
        <v>South Lebanon</v>
      </c>
      <c r="AM611" s="15" t="b">
        <f t="shared" si="29"/>
        <v>1</v>
      </c>
      <c r="AN611" s="15"/>
      <c r="AO611" s="15"/>
      <c r="AP611" s="15"/>
    </row>
    <row r="612" spans="1:42" s="31" customFormat="1" ht="12" customHeight="1" x14ac:dyDescent="0.2">
      <c r="A612" s="1" t="s">
        <v>128</v>
      </c>
      <c r="B612" s="1"/>
      <c r="C612" s="1" t="s">
        <v>437</v>
      </c>
      <c r="D612" s="15"/>
      <c r="E612" s="77">
        <v>257092.49</v>
      </c>
      <c r="F612" s="77"/>
      <c r="G612" s="77">
        <v>0</v>
      </c>
      <c r="H612" s="77"/>
      <c r="I612" s="77">
        <v>420586.1</v>
      </c>
      <c r="J612" s="77"/>
      <c r="K612" s="77">
        <v>2135.54</v>
      </c>
      <c r="L612" s="77"/>
      <c r="M612" s="77">
        <v>3360</v>
      </c>
      <c r="N612" s="77"/>
      <c r="O612" s="77">
        <v>125517.91</v>
      </c>
      <c r="P612" s="77"/>
      <c r="Q612" s="77">
        <v>0</v>
      </c>
      <c r="R612" s="77"/>
      <c r="S612" s="77">
        <v>11912.92</v>
      </c>
      <c r="T612" s="77"/>
      <c r="U612" s="77">
        <v>0</v>
      </c>
      <c r="V612" s="77"/>
      <c r="W612" s="77">
        <v>0</v>
      </c>
      <c r="X612" s="77"/>
      <c r="Y612" s="77">
        <v>0</v>
      </c>
      <c r="Z612" s="77"/>
      <c r="AA612" s="77">
        <v>44075</v>
      </c>
      <c r="AB612" s="77"/>
      <c r="AC612" s="77">
        <v>0</v>
      </c>
      <c r="AD612" s="77"/>
      <c r="AE612" s="77">
        <v>0</v>
      </c>
      <c r="AF612" s="77"/>
      <c r="AG612" s="77">
        <v>0</v>
      </c>
      <c r="AH612" s="77"/>
      <c r="AI612" s="77">
        <f t="shared" si="27"/>
        <v>864679.96000000008</v>
      </c>
      <c r="AJ612" s="24"/>
      <c r="AK612" s="15" t="str">
        <f>'Gen Rev'!A612</f>
        <v>South Point</v>
      </c>
      <c r="AL612" s="15" t="str">
        <f t="shared" si="28"/>
        <v>South Point</v>
      </c>
      <c r="AM612" s="15" t="b">
        <f t="shared" si="29"/>
        <v>1</v>
      </c>
    </row>
    <row r="613" spans="1:42" s="31" customFormat="1" ht="12" customHeight="1" x14ac:dyDescent="0.2">
      <c r="A613" s="15" t="s">
        <v>369</v>
      </c>
      <c r="B613" s="15"/>
      <c r="C613" s="15" t="s">
        <v>368</v>
      </c>
      <c r="D613" s="15"/>
      <c r="E613" s="77">
        <v>1008117</v>
      </c>
      <c r="F613" s="77"/>
      <c r="G613" s="77">
        <v>1392944</v>
      </c>
      <c r="H613" s="77"/>
      <c r="I613" s="77">
        <v>1006733</v>
      </c>
      <c r="J613" s="77"/>
      <c r="K613" s="77">
        <v>0</v>
      </c>
      <c r="L613" s="77"/>
      <c r="M613" s="77">
        <v>104316</v>
      </c>
      <c r="N613" s="77"/>
      <c r="O613" s="77">
        <v>79763</v>
      </c>
      <c r="P613" s="77"/>
      <c r="Q613" s="77">
        <v>73</v>
      </c>
      <c r="R613" s="77"/>
      <c r="S613" s="77">
        <v>24535</v>
      </c>
      <c r="T613" s="77"/>
      <c r="U613" s="77">
        <v>0</v>
      </c>
      <c r="V613" s="77"/>
      <c r="W613" s="77">
        <v>0</v>
      </c>
      <c r="X613" s="77"/>
      <c r="Y613" s="77">
        <v>0</v>
      </c>
      <c r="Z613" s="77"/>
      <c r="AA613" s="77">
        <v>1463542</v>
      </c>
      <c r="AB613" s="77"/>
      <c r="AC613" s="77">
        <v>0</v>
      </c>
      <c r="AD613" s="77"/>
      <c r="AE613" s="77">
        <v>0</v>
      </c>
      <c r="AF613" s="77"/>
      <c r="AG613" s="77">
        <v>0</v>
      </c>
      <c r="AH613" s="77"/>
      <c r="AI613" s="77">
        <f t="shared" si="27"/>
        <v>5080023</v>
      </c>
      <c r="AJ613" s="24"/>
      <c r="AK613" s="15" t="str">
        <f>'Gen Rev'!A613</f>
        <v>South Russell</v>
      </c>
      <c r="AL613" s="15" t="str">
        <f t="shared" si="28"/>
        <v>South Russell</v>
      </c>
      <c r="AM613" s="15" t="b">
        <f t="shared" si="29"/>
        <v>1</v>
      </c>
      <c r="AN613" s="15"/>
      <c r="AO613" s="15"/>
      <c r="AP613" s="15"/>
    </row>
    <row r="614" spans="1:42" s="31" customFormat="1" ht="12" customHeight="1" x14ac:dyDescent="0.2">
      <c r="A614" s="1" t="s">
        <v>522</v>
      </c>
      <c r="B614" s="1"/>
      <c r="C614" s="1" t="s">
        <v>523</v>
      </c>
      <c r="D614" s="15"/>
      <c r="E614" s="77">
        <v>1780.31</v>
      </c>
      <c r="F614" s="77"/>
      <c r="G614" s="77">
        <v>0</v>
      </c>
      <c r="H614" s="77"/>
      <c r="I614" s="77">
        <v>24716.83</v>
      </c>
      <c r="J614" s="77"/>
      <c r="K614" s="77">
        <v>0</v>
      </c>
      <c r="L614" s="77"/>
      <c r="M614" s="77">
        <v>1355</v>
      </c>
      <c r="N614" s="77"/>
      <c r="O614" s="77">
        <v>300</v>
      </c>
      <c r="P614" s="77"/>
      <c r="Q614" s="77">
        <v>1008.07</v>
      </c>
      <c r="R614" s="77"/>
      <c r="S614" s="77">
        <v>0</v>
      </c>
      <c r="T614" s="77"/>
      <c r="U614" s="77">
        <v>0</v>
      </c>
      <c r="V614" s="77"/>
      <c r="W614" s="77">
        <v>0</v>
      </c>
      <c r="X614" s="77"/>
      <c r="Y614" s="77">
        <v>0</v>
      </c>
      <c r="Z614" s="77"/>
      <c r="AA614" s="77">
        <v>0</v>
      </c>
      <c r="AB614" s="77"/>
      <c r="AC614" s="77">
        <v>0</v>
      </c>
      <c r="AD614" s="77"/>
      <c r="AE614" s="77">
        <v>0</v>
      </c>
      <c r="AF614" s="77"/>
      <c r="AG614" s="77">
        <v>0</v>
      </c>
      <c r="AH614" s="77"/>
      <c r="AI614" s="77">
        <f t="shared" si="27"/>
        <v>29160.210000000003</v>
      </c>
      <c r="AJ614" s="24"/>
      <c r="AK614" s="15" t="str">
        <f>'Gen Rev'!A614</f>
        <v>South Salem</v>
      </c>
      <c r="AL614" s="15" t="str">
        <f t="shared" si="28"/>
        <v>South Salem</v>
      </c>
      <c r="AM614" s="15" t="b">
        <f t="shared" si="29"/>
        <v>1</v>
      </c>
      <c r="AN614" s="32"/>
      <c r="AO614" s="32"/>
      <c r="AP614" s="32"/>
    </row>
    <row r="615" spans="1:42" ht="12" customHeight="1" x14ac:dyDescent="0.2">
      <c r="A615" s="1" t="s">
        <v>142</v>
      </c>
      <c r="B615" s="1"/>
      <c r="C615" s="1" t="s">
        <v>778</v>
      </c>
      <c r="E615" s="77">
        <v>8848.57</v>
      </c>
      <c r="F615" s="77"/>
      <c r="G615" s="77">
        <v>3039.27</v>
      </c>
      <c r="H615" s="77"/>
      <c r="I615" s="77">
        <v>44656.03</v>
      </c>
      <c r="J615" s="77"/>
      <c r="K615" s="77">
        <v>87808.36</v>
      </c>
      <c r="L615" s="77"/>
      <c r="M615" s="77">
        <v>2100</v>
      </c>
      <c r="N615" s="77"/>
      <c r="O615" s="77">
        <v>0</v>
      </c>
      <c r="P615" s="77"/>
      <c r="Q615" s="77">
        <v>91.76</v>
      </c>
      <c r="R615" s="77"/>
      <c r="S615" s="77">
        <v>1400.02</v>
      </c>
      <c r="T615" s="77"/>
      <c r="U615" s="77">
        <v>0</v>
      </c>
      <c r="V615" s="77"/>
      <c r="W615" s="77">
        <v>0</v>
      </c>
      <c r="X615" s="77"/>
      <c r="Y615" s="77">
        <v>0</v>
      </c>
      <c r="Z615" s="77"/>
      <c r="AA615" s="77">
        <v>0</v>
      </c>
      <c r="AB615" s="77"/>
      <c r="AC615" s="77">
        <v>0</v>
      </c>
      <c r="AD615" s="77"/>
      <c r="AE615" s="77">
        <v>0</v>
      </c>
      <c r="AF615" s="77"/>
      <c r="AG615" s="77">
        <v>0</v>
      </c>
      <c r="AH615" s="77"/>
      <c r="AI615" s="77">
        <f t="shared" si="27"/>
        <v>147944.00999999998</v>
      </c>
      <c r="AJ615" s="24"/>
      <c r="AK615" s="15" t="str">
        <f>'Gen Rev'!A615</f>
        <v>South Solon</v>
      </c>
      <c r="AL615" s="15" t="str">
        <f t="shared" si="28"/>
        <v>South Solon</v>
      </c>
      <c r="AM615" s="15" t="b">
        <f t="shared" si="29"/>
        <v>1</v>
      </c>
      <c r="AN615" s="32"/>
      <c r="AO615" s="32"/>
      <c r="AP615" s="32"/>
    </row>
    <row r="616" spans="1:42" ht="12" customHeight="1" x14ac:dyDescent="0.2">
      <c r="A616" s="1" t="s">
        <v>35</v>
      </c>
      <c r="B616" s="1"/>
      <c r="C616" s="1" t="s">
        <v>292</v>
      </c>
      <c r="E616" s="77">
        <v>37773.160000000003</v>
      </c>
      <c r="F616" s="77"/>
      <c r="G616" s="77">
        <v>0</v>
      </c>
      <c r="H616" s="77"/>
      <c r="I616" s="77">
        <v>26630.71</v>
      </c>
      <c r="J616" s="77"/>
      <c r="K616" s="77">
        <v>0</v>
      </c>
      <c r="L616" s="77"/>
      <c r="M616" s="77">
        <v>4472.6000000000004</v>
      </c>
      <c r="N616" s="77"/>
      <c r="O616" s="77">
        <v>18996.150000000001</v>
      </c>
      <c r="P616" s="77"/>
      <c r="Q616" s="77">
        <v>4805.04</v>
      </c>
      <c r="R616" s="77"/>
      <c r="S616" s="77">
        <v>21235</v>
      </c>
      <c r="T616" s="77"/>
      <c r="U616" s="77">
        <v>0</v>
      </c>
      <c r="V616" s="77"/>
      <c r="W616" s="77">
        <v>0</v>
      </c>
      <c r="X616" s="77"/>
      <c r="Y616" s="77">
        <v>0</v>
      </c>
      <c r="Z616" s="77"/>
      <c r="AA616" s="77">
        <v>0</v>
      </c>
      <c r="AB616" s="77"/>
      <c r="AC616" s="77">
        <v>0</v>
      </c>
      <c r="AD616" s="77"/>
      <c r="AE616" s="77">
        <v>0</v>
      </c>
      <c r="AF616" s="77"/>
      <c r="AG616" s="77">
        <v>0</v>
      </c>
      <c r="AH616" s="77"/>
      <c r="AI616" s="77">
        <f t="shared" si="27"/>
        <v>113912.65999999999</v>
      </c>
      <c r="AJ616" s="24"/>
      <c r="AK616" s="15" t="str">
        <f>'Gen Rev'!A616</f>
        <v>South Vienna</v>
      </c>
      <c r="AL616" s="15" t="str">
        <f t="shared" si="28"/>
        <v>South Vienna</v>
      </c>
      <c r="AM616" s="15" t="b">
        <f t="shared" si="29"/>
        <v>1</v>
      </c>
      <c r="AN616" s="31"/>
      <c r="AO616" s="31"/>
      <c r="AP616" s="31"/>
    </row>
    <row r="617" spans="1:42" ht="12" customHeight="1" x14ac:dyDescent="0.2">
      <c r="A617" s="1" t="s">
        <v>217</v>
      </c>
      <c r="B617" s="1"/>
      <c r="C617" s="1" t="s">
        <v>529</v>
      </c>
      <c r="E617" s="77">
        <v>26668.01</v>
      </c>
      <c r="F617" s="77"/>
      <c r="G617" s="77">
        <v>0</v>
      </c>
      <c r="H617" s="77"/>
      <c r="I617" s="77">
        <v>35133.57</v>
      </c>
      <c r="J617" s="77"/>
      <c r="K617" s="77">
        <v>0</v>
      </c>
      <c r="L617" s="77"/>
      <c r="M617" s="77">
        <v>2930</v>
      </c>
      <c r="N617" s="77"/>
      <c r="O617" s="77">
        <v>608.05999999999995</v>
      </c>
      <c r="P617" s="77"/>
      <c r="Q617" s="77">
        <v>85.8</v>
      </c>
      <c r="R617" s="77"/>
      <c r="S617" s="77">
        <v>13354.93</v>
      </c>
      <c r="T617" s="77"/>
      <c r="U617" s="77">
        <v>0</v>
      </c>
      <c r="V617" s="77"/>
      <c r="W617" s="77">
        <v>0</v>
      </c>
      <c r="X617" s="77"/>
      <c r="Y617" s="77">
        <v>0</v>
      </c>
      <c r="Z617" s="77"/>
      <c r="AA617" s="77">
        <v>0</v>
      </c>
      <c r="AB617" s="77"/>
      <c r="AC617" s="77">
        <v>0</v>
      </c>
      <c r="AD617" s="77"/>
      <c r="AE617" s="77">
        <v>0</v>
      </c>
      <c r="AF617" s="77"/>
      <c r="AG617" s="77">
        <v>0</v>
      </c>
      <c r="AH617" s="77"/>
      <c r="AI617" s="77">
        <f t="shared" si="27"/>
        <v>78780.37</v>
      </c>
      <c r="AJ617" s="24"/>
      <c r="AK617" s="15" t="str">
        <f>'Gen Rev'!A617</f>
        <v>South Webster</v>
      </c>
      <c r="AL617" s="15" t="str">
        <f t="shared" si="28"/>
        <v>South Webster</v>
      </c>
      <c r="AM617" s="15" t="b">
        <f t="shared" si="29"/>
        <v>1</v>
      </c>
    </row>
    <row r="618" spans="1:42" s="31" customFormat="1" ht="12" customHeight="1" x14ac:dyDescent="0.2">
      <c r="A618" s="1" t="s">
        <v>827</v>
      </c>
      <c r="B618" s="1"/>
      <c r="C618" s="1" t="s">
        <v>243</v>
      </c>
      <c r="D618" s="15"/>
      <c r="E618" s="77">
        <v>13121.3</v>
      </c>
      <c r="F618" s="77"/>
      <c r="G618" s="77">
        <v>0</v>
      </c>
      <c r="H618" s="77"/>
      <c r="I618" s="77">
        <v>16970.259999999998</v>
      </c>
      <c r="J618" s="77"/>
      <c r="K618" s="77">
        <v>0</v>
      </c>
      <c r="L618" s="77"/>
      <c r="M618" s="77">
        <v>0</v>
      </c>
      <c r="N618" s="77"/>
      <c r="O618" s="77">
        <v>771.31</v>
      </c>
      <c r="P618" s="77"/>
      <c r="Q618" s="77">
        <v>87.02</v>
      </c>
      <c r="R618" s="77"/>
      <c r="S618" s="77">
        <v>540</v>
      </c>
      <c r="T618" s="77"/>
      <c r="U618" s="77">
        <v>0</v>
      </c>
      <c r="V618" s="77"/>
      <c r="W618" s="77">
        <v>0</v>
      </c>
      <c r="X618" s="77"/>
      <c r="Y618" s="77">
        <v>0</v>
      </c>
      <c r="Z618" s="77"/>
      <c r="AA618" s="77">
        <v>0</v>
      </c>
      <c r="AB618" s="77"/>
      <c r="AC618" s="77">
        <v>0</v>
      </c>
      <c r="AD618" s="77"/>
      <c r="AE618" s="77">
        <v>0</v>
      </c>
      <c r="AF618" s="77"/>
      <c r="AG618" s="77">
        <v>200</v>
      </c>
      <c r="AH618" s="77"/>
      <c r="AI618" s="77">
        <f t="shared" si="27"/>
        <v>31689.89</v>
      </c>
      <c r="AJ618" s="24"/>
      <c r="AK618" s="15" t="str">
        <f>'Gen Rev'!A618</f>
        <v>Sparta</v>
      </c>
      <c r="AL618" s="15" t="str">
        <f t="shared" si="28"/>
        <v>Sparta</v>
      </c>
      <c r="AM618" s="15" t="b">
        <f t="shared" si="29"/>
        <v>1</v>
      </c>
      <c r="AN618" s="15"/>
      <c r="AO618" s="15"/>
      <c r="AP618" s="15"/>
    </row>
    <row r="619" spans="1:42" ht="12" customHeight="1" x14ac:dyDescent="0.2">
      <c r="A619" s="1" t="s">
        <v>843</v>
      </c>
      <c r="B619" s="1"/>
      <c r="C619" s="1" t="s">
        <v>781</v>
      </c>
      <c r="E619" s="77">
        <v>110585.47</v>
      </c>
      <c r="F619" s="77"/>
      <c r="G619" s="77">
        <v>0</v>
      </c>
      <c r="H619" s="77"/>
      <c r="I619" s="77">
        <v>128432.08</v>
      </c>
      <c r="J619" s="77"/>
      <c r="K619" s="77">
        <v>556.41999999999996</v>
      </c>
      <c r="L619" s="77"/>
      <c r="M619" s="77">
        <v>0</v>
      </c>
      <c r="N619" s="77"/>
      <c r="O619" s="77">
        <v>25115.58</v>
      </c>
      <c r="P619" s="77"/>
      <c r="Q619" s="77">
        <v>2481.62</v>
      </c>
      <c r="R619" s="77"/>
      <c r="S619" s="77">
        <v>308962.43</v>
      </c>
      <c r="T619" s="77"/>
      <c r="U619" s="77">
        <v>0</v>
      </c>
      <c r="V619" s="77"/>
      <c r="W619" s="77">
        <v>0</v>
      </c>
      <c r="X619" s="77"/>
      <c r="Y619" s="77">
        <v>0</v>
      </c>
      <c r="Z619" s="77"/>
      <c r="AA619" s="77">
        <v>150000</v>
      </c>
      <c r="AB619" s="77"/>
      <c r="AC619" s="77">
        <v>0</v>
      </c>
      <c r="AD619" s="77"/>
      <c r="AE619" s="77">
        <v>12420</v>
      </c>
      <c r="AF619" s="77"/>
      <c r="AG619" s="77">
        <v>0</v>
      </c>
      <c r="AH619" s="77"/>
      <c r="AI619" s="77">
        <f t="shared" si="27"/>
        <v>738553.6</v>
      </c>
      <c r="AJ619" s="24"/>
      <c r="AK619" s="15" t="str">
        <f>'Gen Rev'!A619</f>
        <v>Spencer</v>
      </c>
      <c r="AL619" s="15" t="str">
        <f t="shared" si="28"/>
        <v>Spencer</v>
      </c>
      <c r="AM619" s="15" t="b">
        <f t="shared" si="29"/>
        <v>1</v>
      </c>
    </row>
    <row r="620" spans="1:42" s="31" customFormat="1" ht="12" customHeight="1" x14ac:dyDescent="0.2">
      <c r="A620" s="1" t="s">
        <v>6</v>
      </c>
      <c r="B620" s="1"/>
      <c r="C620" s="1" t="s">
        <v>737</v>
      </c>
      <c r="D620" s="15"/>
      <c r="E620" s="77">
        <v>120957.82</v>
      </c>
      <c r="F620" s="77"/>
      <c r="G620" s="77">
        <v>402161.06</v>
      </c>
      <c r="H620" s="77"/>
      <c r="I620" s="77">
        <v>210951.98</v>
      </c>
      <c r="J620" s="77"/>
      <c r="K620" s="77">
        <v>5816</v>
      </c>
      <c r="L620" s="77"/>
      <c r="M620" s="77">
        <v>3461.68</v>
      </c>
      <c r="N620" s="77"/>
      <c r="O620" s="77">
        <v>25584.26</v>
      </c>
      <c r="P620" s="77"/>
      <c r="Q620" s="77">
        <v>274.92</v>
      </c>
      <c r="R620" s="77"/>
      <c r="S620" s="77">
        <v>12443.01</v>
      </c>
      <c r="T620" s="77"/>
      <c r="U620" s="77">
        <v>0</v>
      </c>
      <c r="V620" s="77"/>
      <c r="W620" s="77">
        <v>0</v>
      </c>
      <c r="X620" s="77"/>
      <c r="Y620" s="77">
        <v>0</v>
      </c>
      <c r="Z620" s="77"/>
      <c r="AA620" s="77">
        <v>387959.85</v>
      </c>
      <c r="AB620" s="77"/>
      <c r="AC620" s="77">
        <v>0</v>
      </c>
      <c r="AD620" s="77"/>
      <c r="AE620" s="77">
        <v>0</v>
      </c>
      <c r="AF620" s="77"/>
      <c r="AG620" s="77">
        <v>0</v>
      </c>
      <c r="AH620" s="77"/>
      <c r="AI620" s="77">
        <f t="shared" si="27"/>
        <v>1169610.58</v>
      </c>
      <c r="AJ620" s="24"/>
      <c r="AK620" s="15" t="str">
        <f>'Gen Rev'!A620</f>
        <v>Spencerville</v>
      </c>
      <c r="AL620" s="15" t="str">
        <f t="shared" si="28"/>
        <v>Spencerville</v>
      </c>
      <c r="AM620" s="15" t="b">
        <f t="shared" si="29"/>
        <v>1</v>
      </c>
      <c r="AN620" s="15"/>
      <c r="AO620" s="15"/>
      <c r="AP620" s="15"/>
    </row>
    <row r="621" spans="1:42" s="31" customFormat="1" ht="12" customHeight="1" x14ac:dyDescent="0.2">
      <c r="A621" s="1" t="s">
        <v>85</v>
      </c>
      <c r="B621" s="1"/>
      <c r="C621" s="1" t="s">
        <v>761</v>
      </c>
      <c r="D621" s="15"/>
      <c r="E621" s="77">
        <v>43938.98</v>
      </c>
      <c r="F621" s="77"/>
      <c r="G621" s="77">
        <v>0</v>
      </c>
      <c r="H621" s="77"/>
      <c r="I621" s="77">
        <v>63090.57</v>
      </c>
      <c r="J621" s="77"/>
      <c r="K621" s="77">
        <v>70518.5</v>
      </c>
      <c r="L621" s="77"/>
      <c r="M621" s="77">
        <v>6760</v>
      </c>
      <c r="N621" s="77"/>
      <c r="O621" s="77">
        <v>16709.77</v>
      </c>
      <c r="P621" s="77"/>
      <c r="Q621" s="77">
        <v>0</v>
      </c>
      <c r="R621" s="77"/>
      <c r="S621" s="77">
        <v>54</v>
      </c>
      <c r="T621" s="77"/>
      <c r="U621" s="77">
        <v>0</v>
      </c>
      <c r="V621" s="77"/>
      <c r="W621" s="77">
        <v>0</v>
      </c>
      <c r="X621" s="77"/>
      <c r="Y621" s="77">
        <v>0</v>
      </c>
      <c r="Z621" s="77"/>
      <c r="AA621" s="77">
        <v>0</v>
      </c>
      <c r="AB621" s="77"/>
      <c r="AC621" s="77">
        <v>0</v>
      </c>
      <c r="AD621" s="77"/>
      <c r="AE621" s="77">
        <v>0</v>
      </c>
      <c r="AF621" s="77"/>
      <c r="AG621" s="77">
        <v>0</v>
      </c>
      <c r="AH621" s="77"/>
      <c r="AI621" s="77">
        <f t="shared" si="27"/>
        <v>201071.81999999998</v>
      </c>
      <c r="AJ621" s="24"/>
      <c r="AK621" s="15" t="str">
        <f>'Gen Rev'!A621</f>
        <v>Spring Valley</v>
      </c>
      <c r="AL621" s="15" t="str">
        <f t="shared" si="28"/>
        <v>Spring Valley</v>
      </c>
      <c r="AM621" s="15" t="b">
        <f t="shared" si="29"/>
        <v>1</v>
      </c>
    </row>
    <row r="622" spans="1:42" ht="12" customHeight="1" x14ac:dyDescent="0.2">
      <c r="A622" s="15" t="s">
        <v>966</v>
      </c>
      <c r="C622" s="15" t="s">
        <v>378</v>
      </c>
      <c r="E622" s="77">
        <f>10936257-10218148</f>
        <v>718109</v>
      </c>
      <c r="F622" s="77"/>
      <c r="G622" s="77">
        <v>10218148</v>
      </c>
      <c r="H622" s="77"/>
      <c r="I622" s="77">
        <v>1060973</v>
      </c>
      <c r="J622" s="77"/>
      <c r="K622" s="77">
        <v>0</v>
      </c>
      <c r="L622" s="77"/>
      <c r="M622" s="77">
        <v>499728</v>
      </c>
      <c r="N622" s="77"/>
      <c r="O622" s="77">
        <f>62841+49770</f>
        <v>112611</v>
      </c>
      <c r="P622" s="77"/>
      <c r="Q622" s="77">
        <v>70762</v>
      </c>
      <c r="R622" s="77"/>
      <c r="S622" s="77">
        <v>213399</v>
      </c>
      <c r="T622" s="77"/>
      <c r="U622" s="77">
        <v>0</v>
      </c>
      <c r="V622" s="77"/>
      <c r="W622" s="77">
        <v>0</v>
      </c>
      <c r="X622" s="77"/>
      <c r="Y622" s="77">
        <v>3192613</v>
      </c>
      <c r="Z622" s="77"/>
      <c r="AA622" s="77">
        <v>2365155</v>
      </c>
      <c r="AB622" s="77"/>
      <c r="AC622" s="77">
        <v>0</v>
      </c>
      <c r="AD622" s="77"/>
      <c r="AE622" s="77">
        <v>0</v>
      </c>
      <c r="AF622" s="77"/>
      <c r="AG622" s="77">
        <v>0</v>
      </c>
      <c r="AH622" s="77"/>
      <c r="AI622" s="77">
        <f t="shared" si="27"/>
        <v>18451498</v>
      </c>
      <c r="AJ622" s="24"/>
      <c r="AK622" s="15" t="str">
        <f>'Gen Rev'!A622</f>
        <v>St. Bernard</v>
      </c>
      <c r="AL622" s="15" t="str">
        <f t="shared" si="28"/>
        <v>St. Bernard</v>
      </c>
      <c r="AM622" s="15" t="b">
        <f t="shared" si="29"/>
        <v>1</v>
      </c>
      <c r="AN622" s="31"/>
      <c r="AO622" s="31"/>
      <c r="AP622" s="31"/>
    </row>
    <row r="623" spans="1:42" ht="12" customHeight="1" x14ac:dyDescent="0.2">
      <c r="A623" s="15" t="s">
        <v>443</v>
      </c>
      <c r="C623" s="15" t="s">
        <v>439</v>
      </c>
      <c r="E623" s="77">
        <v>5333</v>
      </c>
      <c r="F623" s="77"/>
      <c r="G623" s="77">
        <v>0</v>
      </c>
      <c r="H623" s="77"/>
      <c r="I623" s="77">
        <v>48806</v>
      </c>
      <c r="J623" s="77"/>
      <c r="K623" s="77">
        <v>0</v>
      </c>
      <c r="L623" s="77"/>
      <c r="M623" s="77">
        <v>0</v>
      </c>
      <c r="N623" s="77"/>
      <c r="O623" s="77">
        <v>33565</v>
      </c>
      <c r="P623" s="77"/>
      <c r="Q623" s="77">
        <v>0</v>
      </c>
      <c r="R623" s="77"/>
      <c r="S623" s="77">
        <v>22280</v>
      </c>
      <c r="T623" s="77"/>
      <c r="U623" s="77">
        <v>0</v>
      </c>
      <c r="V623" s="77"/>
      <c r="W623" s="77">
        <v>0</v>
      </c>
      <c r="X623" s="77"/>
      <c r="Y623" s="77">
        <v>0</v>
      </c>
      <c r="Z623" s="77"/>
      <c r="AA623" s="77">
        <v>0</v>
      </c>
      <c r="AB623" s="77"/>
      <c r="AC623" s="77">
        <v>0</v>
      </c>
      <c r="AD623" s="77"/>
      <c r="AE623" s="77">
        <v>0</v>
      </c>
      <c r="AF623" s="77"/>
      <c r="AG623" s="77">
        <v>0</v>
      </c>
      <c r="AH623" s="77"/>
      <c r="AI623" s="77">
        <f t="shared" si="27"/>
        <v>109984</v>
      </c>
      <c r="AJ623" s="24"/>
      <c r="AK623" s="15" t="str">
        <f>'Gen Rev'!A623</f>
        <v>St. Louisville</v>
      </c>
      <c r="AL623" s="15" t="str">
        <f t="shared" si="28"/>
        <v>St. Louisville</v>
      </c>
      <c r="AM623" s="15" t="b">
        <f t="shared" si="29"/>
        <v>1</v>
      </c>
      <c r="AN623" s="31"/>
      <c r="AO623" s="31"/>
      <c r="AP623" s="31"/>
    </row>
    <row r="624" spans="1:42" ht="12" customHeight="1" x14ac:dyDescent="0.2">
      <c r="A624" s="1" t="s">
        <v>33</v>
      </c>
      <c r="B624" s="1"/>
      <c r="C624" s="1" t="s">
        <v>745</v>
      </c>
      <c r="E624" s="77">
        <v>110355.58</v>
      </c>
      <c r="F624" s="77"/>
      <c r="G624" s="77">
        <v>250355.43</v>
      </c>
      <c r="H624" s="77"/>
      <c r="I624" s="77">
        <v>192637.08</v>
      </c>
      <c r="J624" s="77"/>
      <c r="K624" s="77">
        <v>26931.59</v>
      </c>
      <c r="L624" s="77"/>
      <c r="M624" s="77">
        <v>30115.4</v>
      </c>
      <c r="N624" s="77"/>
      <c r="O624" s="77">
        <v>45058.85</v>
      </c>
      <c r="P624" s="77"/>
      <c r="Q624" s="77">
        <v>3707.5</v>
      </c>
      <c r="R624" s="77"/>
      <c r="S624" s="77">
        <v>167714.31</v>
      </c>
      <c r="T624" s="77"/>
      <c r="U624" s="77">
        <v>0</v>
      </c>
      <c r="V624" s="77"/>
      <c r="W624" s="77">
        <v>0</v>
      </c>
      <c r="X624" s="77"/>
      <c r="Y624" s="77">
        <v>0</v>
      </c>
      <c r="Z624" s="77"/>
      <c r="AA624" s="77">
        <v>10500</v>
      </c>
      <c r="AB624" s="77"/>
      <c r="AC624" s="77">
        <v>0</v>
      </c>
      <c r="AD624" s="77"/>
      <c r="AE624" s="77">
        <v>0</v>
      </c>
      <c r="AF624" s="77"/>
      <c r="AG624" s="77">
        <v>0</v>
      </c>
      <c r="AH624" s="77"/>
      <c r="AI624" s="77">
        <f t="shared" si="27"/>
        <v>837375.74</v>
      </c>
      <c r="AJ624" s="24"/>
      <c r="AK624" s="15" t="str">
        <f>'Gen Rev'!A624</f>
        <v>St. Paris</v>
      </c>
      <c r="AL624" s="15" t="str">
        <f t="shared" si="28"/>
        <v>St. Paris</v>
      </c>
      <c r="AM624" s="15" t="b">
        <f t="shared" si="29"/>
        <v>1</v>
      </c>
      <c r="AN624" s="31"/>
      <c r="AO624" s="31"/>
      <c r="AP624" s="31"/>
    </row>
    <row r="625" spans="1:42" ht="12" customHeight="1" x14ac:dyDescent="0.2">
      <c r="A625" s="15" t="s">
        <v>477</v>
      </c>
      <c r="C625" s="15" t="s">
        <v>474</v>
      </c>
      <c r="E625" s="77">
        <v>3525</v>
      </c>
      <c r="F625" s="77"/>
      <c r="G625" s="77">
        <v>0</v>
      </c>
      <c r="H625" s="77"/>
      <c r="I625" s="77">
        <v>8224</v>
      </c>
      <c r="J625" s="77"/>
      <c r="K625" s="77">
        <v>0</v>
      </c>
      <c r="L625" s="77"/>
      <c r="M625" s="77">
        <v>0</v>
      </c>
      <c r="N625" s="77"/>
      <c r="O625" s="77">
        <v>0</v>
      </c>
      <c r="P625" s="77"/>
      <c r="Q625" s="77">
        <v>0</v>
      </c>
      <c r="R625" s="77"/>
      <c r="S625" s="77">
        <v>14</v>
      </c>
      <c r="T625" s="77"/>
      <c r="U625" s="77">
        <v>0</v>
      </c>
      <c r="V625" s="77"/>
      <c r="W625" s="77">
        <v>0</v>
      </c>
      <c r="X625" s="77"/>
      <c r="Y625" s="77">
        <v>0</v>
      </c>
      <c r="Z625" s="77"/>
      <c r="AA625" s="77">
        <v>0</v>
      </c>
      <c r="AB625" s="77"/>
      <c r="AC625" s="77">
        <v>0</v>
      </c>
      <c r="AD625" s="77"/>
      <c r="AE625" s="77">
        <v>0</v>
      </c>
      <c r="AF625" s="77"/>
      <c r="AG625" s="77">
        <v>0</v>
      </c>
      <c r="AH625" s="77"/>
      <c r="AI625" s="77">
        <f t="shared" si="27"/>
        <v>11763</v>
      </c>
      <c r="AJ625" s="24"/>
      <c r="AK625" s="15" t="str">
        <f>'Gen Rev'!A625</f>
        <v>Stafford</v>
      </c>
      <c r="AL625" s="15" t="str">
        <f t="shared" si="28"/>
        <v>Stafford</v>
      </c>
      <c r="AM625" s="15" t="b">
        <f t="shared" si="29"/>
        <v>1</v>
      </c>
    </row>
    <row r="626" spans="1:42" ht="12" customHeight="1" x14ac:dyDescent="0.2">
      <c r="A626" s="1" t="s">
        <v>169</v>
      </c>
      <c r="B626" s="1"/>
      <c r="C626" s="1" t="s">
        <v>787</v>
      </c>
      <c r="E626" s="77">
        <v>24031.200000000001</v>
      </c>
      <c r="F626" s="77"/>
      <c r="G626" s="77">
        <v>0</v>
      </c>
      <c r="H626" s="77"/>
      <c r="I626" s="77">
        <v>36575.910000000003</v>
      </c>
      <c r="J626" s="77"/>
      <c r="K626" s="77">
        <v>0</v>
      </c>
      <c r="L626" s="77"/>
      <c r="M626" s="77">
        <v>2850</v>
      </c>
      <c r="N626" s="77"/>
      <c r="O626" s="77">
        <v>0</v>
      </c>
      <c r="P626" s="77"/>
      <c r="Q626" s="77">
        <v>1845.15</v>
      </c>
      <c r="R626" s="77"/>
      <c r="S626" s="77">
        <v>14680.1</v>
      </c>
      <c r="T626" s="77"/>
      <c r="U626" s="77">
        <v>0</v>
      </c>
      <c r="V626" s="77"/>
      <c r="W626" s="77">
        <v>0</v>
      </c>
      <c r="X626" s="77"/>
      <c r="Y626" s="77">
        <v>0</v>
      </c>
      <c r="Z626" s="77"/>
      <c r="AA626" s="77">
        <v>0</v>
      </c>
      <c r="AB626" s="77"/>
      <c r="AC626" s="77">
        <v>0</v>
      </c>
      <c r="AD626" s="77"/>
      <c r="AE626" s="77">
        <v>23596.42</v>
      </c>
      <c r="AF626" s="77"/>
      <c r="AG626" s="77">
        <v>0</v>
      </c>
      <c r="AH626" s="77"/>
      <c r="AI626" s="77">
        <f t="shared" si="27"/>
        <v>103578.78</v>
      </c>
      <c r="AJ626" s="24"/>
      <c r="AK626" s="15" t="str">
        <f>'Gen Rev'!A626</f>
        <v>Stockport</v>
      </c>
      <c r="AL626" s="15" t="str">
        <f t="shared" si="28"/>
        <v>Stockport</v>
      </c>
      <c r="AM626" s="15" t="b">
        <f t="shared" si="29"/>
        <v>1</v>
      </c>
      <c r="AN626" s="31"/>
      <c r="AO626" s="31"/>
      <c r="AP626" s="31"/>
    </row>
    <row r="627" spans="1:42" ht="12" customHeight="1" x14ac:dyDescent="0.2">
      <c r="A627" s="1" t="s">
        <v>566</v>
      </c>
      <c r="B627" s="1"/>
      <c r="C627" s="1" t="s">
        <v>560</v>
      </c>
      <c r="E627" s="77">
        <v>8431.84</v>
      </c>
      <c r="F627" s="77"/>
      <c r="G627" s="77">
        <v>11999.01</v>
      </c>
      <c r="H627" s="77"/>
      <c r="I627" s="77">
        <v>12218.59</v>
      </c>
      <c r="J627" s="77"/>
      <c r="K627" s="77">
        <v>0</v>
      </c>
      <c r="L627" s="77"/>
      <c r="M627" s="77">
        <v>0</v>
      </c>
      <c r="N627" s="77"/>
      <c r="O627" s="77">
        <v>55</v>
      </c>
      <c r="P627" s="77"/>
      <c r="Q627" s="77">
        <v>3.83</v>
      </c>
      <c r="R627" s="77"/>
      <c r="S627" s="77">
        <v>1200</v>
      </c>
      <c r="T627" s="77"/>
      <c r="U627" s="77">
        <v>0</v>
      </c>
      <c r="V627" s="77"/>
      <c r="W627" s="77">
        <v>0</v>
      </c>
      <c r="X627" s="77"/>
      <c r="Y627" s="77">
        <v>0</v>
      </c>
      <c r="Z627" s="77"/>
      <c r="AA627" s="77">
        <v>0</v>
      </c>
      <c r="AB627" s="77"/>
      <c r="AC627" s="77">
        <v>0</v>
      </c>
      <c r="AD627" s="77"/>
      <c r="AE627" s="77">
        <v>0</v>
      </c>
      <c r="AF627" s="77"/>
      <c r="AG627" s="77">
        <v>0</v>
      </c>
      <c r="AH627" s="77"/>
      <c r="AI627" s="77">
        <f t="shared" si="27"/>
        <v>33908.270000000004</v>
      </c>
      <c r="AJ627" s="24"/>
      <c r="AK627" s="15" t="str">
        <f>'Gen Rev'!A627</f>
        <v>Stone Creek</v>
      </c>
      <c r="AL627" s="15" t="str">
        <f t="shared" si="28"/>
        <v>Stone Creek</v>
      </c>
      <c r="AM627" s="15" t="b">
        <f t="shared" si="29"/>
        <v>1</v>
      </c>
    </row>
    <row r="628" spans="1:42" s="31" customFormat="1" ht="12" customHeight="1" x14ac:dyDescent="0.2">
      <c r="A628" s="1" t="s">
        <v>936</v>
      </c>
      <c r="B628" s="1"/>
      <c r="C628" s="1" t="s">
        <v>350</v>
      </c>
      <c r="D628" s="24"/>
      <c r="E628" s="77">
        <v>38424.82</v>
      </c>
      <c r="F628" s="77"/>
      <c r="G628" s="77">
        <v>0</v>
      </c>
      <c r="H628" s="77"/>
      <c r="I628" s="77">
        <v>40840.050000000003</v>
      </c>
      <c r="J628" s="77"/>
      <c r="K628" s="77">
        <v>0</v>
      </c>
      <c r="L628" s="77"/>
      <c r="M628" s="77">
        <v>0</v>
      </c>
      <c r="N628" s="77"/>
      <c r="O628" s="77">
        <v>3208.56</v>
      </c>
      <c r="P628" s="77"/>
      <c r="Q628" s="77">
        <v>692.33</v>
      </c>
      <c r="R628" s="77"/>
      <c r="S628" s="77">
        <v>0</v>
      </c>
      <c r="T628" s="77"/>
      <c r="U628" s="77">
        <v>0</v>
      </c>
      <c r="V628" s="77"/>
      <c r="W628" s="77">
        <v>0</v>
      </c>
      <c r="X628" s="77"/>
      <c r="Y628" s="77">
        <v>0</v>
      </c>
      <c r="Z628" s="77"/>
      <c r="AA628" s="77">
        <v>0</v>
      </c>
      <c r="AB628" s="77"/>
      <c r="AC628" s="77">
        <v>0</v>
      </c>
      <c r="AD628" s="77"/>
      <c r="AE628" s="77">
        <v>0</v>
      </c>
      <c r="AF628" s="77"/>
      <c r="AG628" s="77">
        <v>0</v>
      </c>
      <c r="AH628" s="77"/>
      <c r="AI628" s="77">
        <f t="shared" si="27"/>
        <v>83165.759999999995</v>
      </c>
      <c r="AJ628" s="24"/>
      <c r="AK628" s="15" t="str">
        <f>'Gen Rev'!A628</f>
        <v>Stoutsville</v>
      </c>
      <c r="AL628" s="15" t="str">
        <f t="shared" si="28"/>
        <v>Stoutsville</v>
      </c>
      <c r="AM628" s="15" t="b">
        <f t="shared" si="29"/>
        <v>1</v>
      </c>
      <c r="AN628" s="29"/>
      <c r="AO628" s="29"/>
      <c r="AP628" s="29"/>
    </row>
    <row r="629" spans="1:42" s="31" customFormat="1" ht="12" customHeight="1" x14ac:dyDescent="0.2">
      <c r="A629" s="15" t="s">
        <v>567</v>
      </c>
      <c r="B629" s="15"/>
      <c r="C629" s="15" t="s">
        <v>560</v>
      </c>
      <c r="D629" s="15"/>
      <c r="E629" s="77">
        <v>181950</v>
      </c>
      <c r="F629" s="77"/>
      <c r="G629" s="77">
        <v>444923</v>
      </c>
      <c r="H629" s="77"/>
      <c r="I629" s="77">
        <v>221891</v>
      </c>
      <c r="J629" s="77"/>
      <c r="K629" s="77">
        <v>0</v>
      </c>
      <c r="L629" s="77"/>
      <c r="M629" s="77">
        <v>117123</v>
      </c>
      <c r="N629" s="77"/>
      <c r="O629" s="77">
        <v>11192</v>
      </c>
      <c r="P629" s="77"/>
      <c r="Q629" s="77">
        <v>4058</v>
      </c>
      <c r="R629" s="77"/>
      <c r="S629" s="77">
        <v>30128</v>
      </c>
      <c r="T629" s="77"/>
      <c r="U629" s="77">
        <v>0</v>
      </c>
      <c r="V629" s="77"/>
      <c r="W629" s="77">
        <v>0</v>
      </c>
      <c r="X629" s="77"/>
      <c r="Y629" s="77">
        <v>0</v>
      </c>
      <c r="Z629" s="77"/>
      <c r="AA629" s="77">
        <v>524923</v>
      </c>
      <c r="AB629" s="77"/>
      <c r="AC629" s="77">
        <v>0</v>
      </c>
      <c r="AD629" s="77"/>
      <c r="AE629" s="77">
        <v>0</v>
      </c>
      <c r="AF629" s="77"/>
      <c r="AG629" s="77">
        <v>0</v>
      </c>
      <c r="AH629" s="77"/>
      <c r="AI629" s="77">
        <f t="shared" si="27"/>
        <v>1536188</v>
      </c>
      <c r="AJ629" s="24"/>
      <c r="AK629" s="15" t="str">
        <f>'Gen Rev'!A629</f>
        <v>Strasburg</v>
      </c>
      <c r="AL629" s="15" t="str">
        <f t="shared" si="28"/>
        <v>Strasburg</v>
      </c>
      <c r="AM629" s="15" t="b">
        <f t="shared" si="29"/>
        <v>1</v>
      </c>
      <c r="AN629" s="15"/>
      <c r="AO629" s="15"/>
      <c r="AP629" s="15"/>
    </row>
    <row r="630" spans="1:42" s="31" customFormat="1" ht="12" customHeight="1" x14ac:dyDescent="0.2">
      <c r="A630" s="15" t="s">
        <v>424</v>
      </c>
      <c r="B630" s="15"/>
      <c r="C630" s="15" t="s">
        <v>420</v>
      </c>
      <c r="D630" s="15"/>
      <c r="E630" s="77">
        <v>0</v>
      </c>
      <c r="F630" s="77"/>
      <c r="G630" s="77">
        <v>1060890</v>
      </c>
      <c r="H630" s="77"/>
      <c r="I630" s="77">
        <v>395380</v>
      </c>
      <c r="J630" s="77"/>
      <c r="K630" s="77">
        <v>0</v>
      </c>
      <c r="L630" s="77"/>
      <c r="M630" s="77">
        <v>28240</v>
      </c>
      <c r="N630" s="77"/>
      <c r="O630" s="77">
        <v>625</v>
      </c>
      <c r="P630" s="77"/>
      <c r="Q630" s="77">
        <v>491</v>
      </c>
      <c r="R630" s="77"/>
      <c r="S630" s="77">
        <v>5150</v>
      </c>
      <c r="T630" s="77"/>
      <c r="U630" s="77">
        <v>0</v>
      </c>
      <c r="V630" s="77"/>
      <c r="W630" s="77">
        <v>0</v>
      </c>
      <c r="X630" s="77"/>
      <c r="Y630" s="77">
        <v>0</v>
      </c>
      <c r="Z630" s="77"/>
      <c r="AA630" s="77">
        <v>100708</v>
      </c>
      <c r="AB630" s="77"/>
      <c r="AC630" s="77">
        <v>0</v>
      </c>
      <c r="AD630" s="77"/>
      <c r="AE630" s="77">
        <v>3066</v>
      </c>
      <c r="AF630" s="77"/>
      <c r="AG630" s="77">
        <v>0</v>
      </c>
      <c r="AH630" s="77"/>
      <c r="AI630" s="77">
        <f t="shared" si="27"/>
        <v>1594550</v>
      </c>
      <c r="AJ630" s="24"/>
      <c r="AK630" s="15" t="str">
        <f>'Gen Rev'!A630</f>
        <v>Stratton</v>
      </c>
      <c r="AL630" s="15" t="str">
        <f t="shared" si="28"/>
        <v>Stratton</v>
      </c>
      <c r="AM630" s="15" t="b">
        <f t="shared" si="29"/>
        <v>1</v>
      </c>
    </row>
    <row r="631" spans="1:42" s="31" customFormat="1" ht="12" customHeight="1" x14ac:dyDescent="0.2">
      <c r="A631" s="15" t="s">
        <v>598</v>
      </c>
      <c r="B631" s="15"/>
      <c r="C631" s="15" t="s">
        <v>596</v>
      </c>
      <c r="D631" s="15"/>
      <c r="E631" s="77">
        <f>306186+6961</f>
        <v>313147</v>
      </c>
      <c r="F631" s="77"/>
      <c r="G631" s="77">
        <f>912+169675</f>
        <v>170587</v>
      </c>
      <c r="H631" s="77"/>
      <c r="I631" s="77">
        <f>62716+69948</f>
        <v>132664</v>
      </c>
      <c r="J631" s="77"/>
      <c r="K631" s="77">
        <v>0</v>
      </c>
      <c r="L631" s="77"/>
      <c r="M631" s="77">
        <v>1036</v>
      </c>
      <c r="N631" s="77"/>
      <c r="O631" s="77">
        <f>7486+15415</f>
        <v>22901</v>
      </c>
      <c r="P631" s="77"/>
      <c r="Q631" s="77">
        <f>927+81</f>
        <v>1008</v>
      </c>
      <c r="R631" s="77"/>
      <c r="S631" s="77">
        <v>114191</v>
      </c>
      <c r="T631" s="77"/>
      <c r="U631" s="77">
        <v>0</v>
      </c>
      <c r="V631" s="77"/>
      <c r="W631" s="77">
        <v>0</v>
      </c>
      <c r="X631" s="77"/>
      <c r="Y631" s="77">
        <v>0</v>
      </c>
      <c r="Z631" s="77"/>
      <c r="AA631" s="77">
        <v>0</v>
      </c>
      <c r="AB631" s="77"/>
      <c r="AC631" s="77">
        <v>0</v>
      </c>
      <c r="AD631" s="77"/>
      <c r="AE631" s="77">
        <v>0</v>
      </c>
      <c r="AF631" s="77"/>
      <c r="AG631" s="77">
        <v>0</v>
      </c>
      <c r="AH631" s="77"/>
      <c r="AI631" s="77">
        <f t="shared" si="27"/>
        <v>755534</v>
      </c>
      <c r="AJ631" s="24"/>
      <c r="AK631" s="15" t="str">
        <f>'Gen Rev'!A631</f>
        <v>Stryker</v>
      </c>
      <c r="AL631" s="15" t="str">
        <f t="shared" si="28"/>
        <v>Stryker</v>
      </c>
      <c r="AM631" s="15" t="b">
        <f t="shared" si="29"/>
        <v>1</v>
      </c>
      <c r="AN631" s="15"/>
      <c r="AO631" s="15"/>
      <c r="AP631" s="15"/>
    </row>
    <row r="632" spans="1:42" s="31" customFormat="1" ht="12" customHeight="1" x14ac:dyDescent="0.2">
      <c r="A632" s="1" t="s">
        <v>196</v>
      </c>
      <c r="B632" s="1"/>
      <c r="C632" s="1" t="s">
        <v>795</v>
      </c>
      <c r="D632" s="15"/>
      <c r="E632" s="77">
        <v>74405.320000000007</v>
      </c>
      <c r="F632" s="77"/>
      <c r="G632" s="77">
        <v>0</v>
      </c>
      <c r="H632" s="77"/>
      <c r="I632" s="77">
        <v>48431.13</v>
      </c>
      <c r="J632" s="77"/>
      <c r="K632" s="77">
        <v>0</v>
      </c>
      <c r="L632" s="77"/>
      <c r="M632" s="77">
        <v>0</v>
      </c>
      <c r="N632" s="77"/>
      <c r="O632" s="77">
        <v>3369.13</v>
      </c>
      <c r="P632" s="77"/>
      <c r="Q632" s="77">
        <v>93.57</v>
      </c>
      <c r="R632" s="77"/>
      <c r="S632" s="77">
        <v>0</v>
      </c>
      <c r="T632" s="77"/>
      <c r="U632" s="77">
        <v>0</v>
      </c>
      <c r="V632" s="77"/>
      <c r="W632" s="77">
        <v>0</v>
      </c>
      <c r="X632" s="77"/>
      <c r="Y632" s="77">
        <v>0</v>
      </c>
      <c r="Z632" s="77"/>
      <c r="AA632" s="77">
        <v>0</v>
      </c>
      <c r="AB632" s="77"/>
      <c r="AC632" s="77">
        <v>0</v>
      </c>
      <c r="AD632" s="77"/>
      <c r="AE632" s="77">
        <v>0</v>
      </c>
      <c r="AF632" s="77"/>
      <c r="AG632" s="77">
        <v>0</v>
      </c>
      <c r="AH632" s="77"/>
      <c r="AI632" s="77">
        <f t="shared" si="27"/>
        <v>126299.15000000002</v>
      </c>
      <c r="AJ632" s="24"/>
      <c r="AK632" s="15" t="str">
        <f>'Gen Rev'!A632</f>
        <v>Sugar Bush Knolls</v>
      </c>
      <c r="AL632" s="15" t="str">
        <f t="shared" si="28"/>
        <v>Sugar Bush Knolls</v>
      </c>
      <c r="AM632" s="15" t="b">
        <f t="shared" si="29"/>
        <v>1</v>
      </c>
    </row>
    <row r="633" spans="1:42" s="31" customFormat="1" ht="12" customHeight="1" x14ac:dyDescent="0.2">
      <c r="A633" s="1" t="s">
        <v>66</v>
      </c>
      <c r="B633" s="1"/>
      <c r="C633" s="1" t="s">
        <v>756</v>
      </c>
      <c r="D633" s="15"/>
      <c r="E633" s="77">
        <v>33436.629999999997</v>
      </c>
      <c r="F633" s="77"/>
      <c r="G633" s="77">
        <v>86215.08</v>
      </c>
      <c r="H633" s="77"/>
      <c r="I633" s="77">
        <v>46104.72</v>
      </c>
      <c r="J633" s="77"/>
      <c r="K633" s="77">
        <v>0</v>
      </c>
      <c r="L633" s="77"/>
      <c r="M633" s="77">
        <v>0</v>
      </c>
      <c r="N633" s="77"/>
      <c r="O633" s="77">
        <v>7787.58</v>
      </c>
      <c r="P633" s="77"/>
      <c r="Q633" s="77">
        <v>564.92999999999995</v>
      </c>
      <c r="R633" s="77"/>
      <c r="S633" s="77">
        <v>7122.23</v>
      </c>
      <c r="T633" s="77"/>
      <c r="U633" s="77">
        <v>0</v>
      </c>
      <c r="V633" s="77"/>
      <c r="W633" s="77">
        <v>0</v>
      </c>
      <c r="X633" s="77"/>
      <c r="Y633" s="77">
        <v>0</v>
      </c>
      <c r="Z633" s="77"/>
      <c r="AA633" s="77">
        <v>0</v>
      </c>
      <c r="AB633" s="77"/>
      <c r="AC633" s="77">
        <v>0</v>
      </c>
      <c r="AD633" s="77"/>
      <c r="AE633" s="77">
        <v>0</v>
      </c>
      <c r="AF633" s="77"/>
      <c r="AG633" s="77">
        <v>0</v>
      </c>
      <c r="AH633" s="77"/>
      <c r="AI633" s="77">
        <f t="shared" si="27"/>
        <v>181231.16999999998</v>
      </c>
      <c r="AJ633" s="24"/>
      <c r="AK633" s="15" t="str">
        <f>'Gen Rev'!A633</f>
        <v>Sugar Grove</v>
      </c>
      <c r="AL633" s="15" t="str">
        <f t="shared" si="28"/>
        <v>Sugar Grove</v>
      </c>
      <c r="AM633" s="15" t="b">
        <f t="shared" si="29"/>
        <v>1</v>
      </c>
    </row>
    <row r="634" spans="1:42" s="31" customFormat="1" ht="12" customHeight="1" x14ac:dyDescent="0.2">
      <c r="A634" s="15" t="s">
        <v>568</v>
      </c>
      <c r="B634" s="15"/>
      <c r="C634" s="15" t="s">
        <v>560</v>
      </c>
      <c r="D634" s="15"/>
      <c r="E634" s="77">
        <v>422994</v>
      </c>
      <c r="F634" s="77"/>
      <c r="G634" s="77">
        <v>1028385</v>
      </c>
      <c r="H634" s="77"/>
      <c r="I634" s="77">
        <v>315423</v>
      </c>
      <c r="J634" s="77"/>
      <c r="K634" s="77">
        <v>5000</v>
      </c>
      <c r="L634" s="77"/>
      <c r="M634" s="77">
        <v>55875</v>
      </c>
      <c r="N634" s="77"/>
      <c r="O634" s="77">
        <v>2617</v>
      </c>
      <c r="P634" s="77"/>
      <c r="Q634" s="77">
        <v>4399</v>
      </c>
      <c r="R634" s="77"/>
      <c r="S634" s="77">
        <v>25885</v>
      </c>
      <c r="T634" s="77"/>
      <c r="U634" s="77">
        <v>0</v>
      </c>
      <c r="V634" s="77"/>
      <c r="W634" s="77">
        <v>25940</v>
      </c>
      <c r="X634" s="77"/>
      <c r="Y634" s="77">
        <v>11687</v>
      </c>
      <c r="Z634" s="77"/>
      <c r="AA634" s="77">
        <v>0</v>
      </c>
      <c r="AB634" s="77"/>
      <c r="AC634" s="77">
        <v>0</v>
      </c>
      <c r="AD634" s="77"/>
      <c r="AE634" s="77">
        <v>30410</v>
      </c>
      <c r="AF634" s="77"/>
      <c r="AG634" s="77">
        <v>0</v>
      </c>
      <c r="AH634" s="77"/>
      <c r="AI634" s="77">
        <f t="shared" si="27"/>
        <v>1928615</v>
      </c>
      <c r="AJ634" s="24"/>
      <c r="AK634" s="15" t="str">
        <f>'Gen Rev'!A634</f>
        <v>Sugarcreek</v>
      </c>
      <c r="AL634" s="15" t="str">
        <f t="shared" si="28"/>
        <v>Sugarcreek</v>
      </c>
      <c r="AM634" s="15" t="b">
        <f t="shared" si="29"/>
        <v>1</v>
      </c>
      <c r="AN634" s="15"/>
      <c r="AO634" s="15"/>
      <c r="AP634" s="15"/>
    </row>
    <row r="635" spans="1:42" ht="12" customHeight="1" x14ac:dyDescent="0.2">
      <c r="A635" s="1" t="s">
        <v>178</v>
      </c>
      <c r="B635" s="1"/>
      <c r="C635" s="1" t="s">
        <v>790</v>
      </c>
      <c r="E635" s="77">
        <v>8093.56</v>
      </c>
      <c r="F635" s="77"/>
      <c r="G635" s="77">
        <v>0</v>
      </c>
      <c r="H635" s="77"/>
      <c r="I635" s="77">
        <v>24360.25</v>
      </c>
      <c r="J635" s="77"/>
      <c r="K635" s="77">
        <v>0</v>
      </c>
      <c r="L635" s="77"/>
      <c r="M635" s="77">
        <v>1393.56</v>
      </c>
      <c r="N635" s="77"/>
      <c r="O635" s="77">
        <v>0</v>
      </c>
      <c r="P635" s="77"/>
      <c r="Q635" s="77">
        <v>14.32</v>
      </c>
      <c r="R635" s="77"/>
      <c r="S635" s="77">
        <v>4375</v>
      </c>
      <c r="T635" s="77"/>
      <c r="U635" s="77">
        <v>0</v>
      </c>
      <c r="V635" s="77"/>
      <c r="W635" s="77">
        <v>0</v>
      </c>
      <c r="X635" s="77"/>
      <c r="Y635" s="77">
        <v>0</v>
      </c>
      <c r="Z635" s="77"/>
      <c r="AA635" s="77">
        <v>0</v>
      </c>
      <c r="AB635" s="77"/>
      <c r="AC635" s="77">
        <v>0</v>
      </c>
      <c r="AD635" s="77"/>
      <c r="AE635" s="77">
        <v>0</v>
      </c>
      <c r="AF635" s="77"/>
      <c r="AG635" s="77">
        <v>0</v>
      </c>
      <c r="AH635" s="77"/>
      <c r="AI635" s="77">
        <f t="shared" si="27"/>
        <v>38236.69</v>
      </c>
      <c r="AJ635" s="24"/>
      <c r="AK635" s="15" t="str">
        <f>'Gen Rev'!A635</f>
        <v>Summerfield</v>
      </c>
      <c r="AL635" s="15" t="str">
        <f t="shared" si="28"/>
        <v>Summerfield</v>
      </c>
      <c r="AM635" s="15" t="b">
        <f t="shared" si="29"/>
        <v>1</v>
      </c>
    </row>
    <row r="636" spans="1:42" s="31" customFormat="1" ht="12" customHeight="1" x14ac:dyDescent="0.2">
      <c r="A636" s="1" t="s">
        <v>47</v>
      </c>
      <c r="B636" s="1"/>
      <c r="C636" s="1" t="s">
        <v>305</v>
      </c>
      <c r="D636" s="15"/>
      <c r="E636" s="77">
        <v>3653.59</v>
      </c>
      <c r="F636" s="77"/>
      <c r="G636" s="77">
        <v>0</v>
      </c>
      <c r="H636" s="77"/>
      <c r="I636" s="77">
        <v>21836.42</v>
      </c>
      <c r="J636" s="77"/>
      <c r="K636" s="77">
        <v>0</v>
      </c>
      <c r="L636" s="77"/>
      <c r="M636" s="77">
        <v>0</v>
      </c>
      <c r="N636" s="77"/>
      <c r="O636" s="77">
        <v>10886.04</v>
      </c>
      <c r="P636" s="77"/>
      <c r="Q636" s="77">
        <v>0</v>
      </c>
      <c r="R636" s="77"/>
      <c r="S636" s="77">
        <v>0</v>
      </c>
      <c r="T636" s="77"/>
      <c r="U636" s="77">
        <v>0</v>
      </c>
      <c r="V636" s="77"/>
      <c r="W636" s="77">
        <v>0</v>
      </c>
      <c r="X636" s="77"/>
      <c r="Y636" s="77">
        <v>0</v>
      </c>
      <c r="Z636" s="77"/>
      <c r="AA636" s="77">
        <v>0</v>
      </c>
      <c r="AB636" s="77"/>
      <c r="AC636" s="77">
        <v>0</v>
      </c>
      <c r="AD636" s="77"/>
      <c r="AE636" s="77">
        <v>0</v>
      </c>
      <c r="AF636" s="77"/>
      <c r="AG636" s="77">
        <v>0</v>
      </c>
      <c r="AH636" s="77"/>
      <c r="AI636" s="77">
        <f t="shared" si="27"/>
        <v>36376.050000000003</v>
      </c>
      <c r="AJ636" s="24"/>
      <c r="AK636" s="15" t="str">
        <f>'Gen Rev'!A636</f>
        <v>Summitville</v>
      </c>
      <c r="AL636" s="15" t="str">
        <f t="shared" si="28"/>
        <v>Summitville</v>
      </c>
      <c r="AM636" s="15" t="b">
        <f t="shared" si="29"/>
        <v>1</v>
      </c>
      <c r="AN636" s="15"/>
      <c r="AO636" s="15"/>
      <c r="AP636" s="15"/>
    </row>
    <row r="637" spans="1:42" s="31" customFormat="1" ht="12" customHeight="1" x14ac:dyDescent="0.2">
      <c r="A637" s="15" t="s">
        <v>346</v>
      </c>
      <c r="B637" s="15"/>
      <c r="C637" s="15" t="s">
        <v>343</v>
      </c>
      <c r="D637" s="15"/>
      <c r="E637" s="77">
        <v>244181</v>
      </c>
      <c r="F637" s="77"/>
      <c r="G637" s="77">
        <v>2000738</v>
      </c>
      <c r="H637" s="77"/>
      <c r="I637" s="77">
        <v>451830</v>
      </c>
      <c r="J637" s="77"/>
      <c r="K637" s="77">
        <v>8500</v>
      </c>
      <c r="L637" s="77"/>
      <c r="M637" s="77">
        <v>35592</v>
      </c>
      <c r="N637" s="77"/>
      <c r="O637" s="77">
        <v>303510</v>
      </c>
      <c r="P637" s="77"/>
      <c r="Q637" s="77">
        <v>29469</v>
      </c>
      <c r="R637" s="77"/>
      <c r="S637" s="77">
        <f>7900+105150</f>
        <v>113050</v>
      </c>
      <c r="T637" s="77"/>
      <c r="U637" s="77">
        <v>0</v>
      </c>
      <c r="V637" s="77"/>
      <c r="W637" s="77">
        <v>2459265</v>
      </c>
      <c r="X637" s="77"/>
      <c r="Y637" s="77">
        <v>0</v>
      </c>
      <c r="Z637" s="77"/>
      <c r="AA637" s="77">
        <v>72835</v>
      </c>
      <c r="AB637" s="77"/>
      <c r="AC637" s="77">
        <v>0</v>
      </c>
      <c r="AD637" s="77"/>
      <c r="AE637" s="77">
        <v>0</v>
      </c>
      <c r="AF637" s="77"/>
      <c r="AG637" s="77">
        <v>0</v>
      </c>
      <c r="AH637" s="77"/>
      <c r="AI637" s="77">
        <f t="shared" si="27"/>
        <v>5718970</v>
      </c>
      <c r="AJ637" s="24"/>
      <c r="AK637" s="15" t="str">
        <f>'Gen Rev'!A637</f>
        <v>Sunbury</v>
      </c>
      <c r="AL637" s="15" t="str">
        <f t="shared" si="28"/>
        <v>Sunbury</v>
      </c>
      <c r="AM637" s="15" t="b">
        <f t="shared" si="29"/>
        <v>1</v>
      </c>
      <c r="AN637" s="32"/>
      <c r="AO637" s="32"/>
      <c r="AP637" s="32"/>
    </row>
    <row r="638" spans="1:42" ht="12" customHeight="1" x14ac:dyDescent="0.2">
      <c r="A638" s="1" t="s">
        <v>362</v>
      </c>
      <c r="B638" s="1"/>
      <c r="C638" s="1" t="s">
        <v>358</v>
      </c>
      <c r="E638" s="77">
        <v>176718.03</v>
      </c>
      <c r="F638" s="77"/>
      <c r="G638" s="77">
        <v>1133941.57</v>
      </c>
      <c r="H638" s="77"/>
      <c r="I638" s="77">
        <v>370201.67</v>
      </c>
      <c r="J638" s="77"/>
      <c r="K638" s="77">
        <v>65088.92</v>
      </c>
      <c r="L638" s="77"/>
      <c r="M638" s="77">
        <v>57647.3</v>
      </c>
      <c r="N638" s="77"/>
      <c r="O638" s="77">
        <v>59662.12</v>
      </c>
      <c r="P638" s="77"/>
      <c r="Q638" s="77">
        <v>10609</v>
      </c>
      <c r="R638" s="77"/>
      <c r="S638" s="77">
        <v>15645.01</v>
      </c>
      <c r="T638" s="77"/>
      <c r="U638" s="77">
        <v>0</v>
      </c>
      <c r="V638" s="77"/>
      <c r="W638" s="77">
        <v>0</v>
      </c>
      <c r="X638" s="77"/>
      <c r="Y638" s="77">
        <v>0</v>
      </c>
      <c r="Z638" s="77"/>
      <c r="AA638" s="77">
        <v>200000</v>
      </c>
      <c r="AB638" s="77"/>
      <c r="AC638" s="77">
        <v>0</v>
      </c>
      <c r="AD638" s="77"/>
      <c r="AE638" s="77">
        <f>92798+84709</f>
        <v>177507</v>
      </c>
      <c r="AF638" s="77"/>
      <c r="AG638" s="77">
        <v>0</v>
      </c>
      <c r="AH638" s="77"/>
      <c r="AI638" s="77">
        <f t="shared" si="27"/>
        <v>2267020.62</v>
      </c>
      <c r="AJ638" s="24"/>
      <c r="AK638" s="15" t="str">
        <f>'Gen Rev'!A638</f>
        <v>Swanton</v>
      </c>
      <c r="AL638" s="15" t="str">
        <f t="shared" si="28"/>
        <v>Swanton</v>
      </c>
      <c r="AM638" s="15" t="b">
        <f t="shared" si="29"/>
        <v>1</v>
      </c>
    </row>
    <row r="639" spans="1:42" ht="12" customHeight="1" x14ac:dyDescent="0.2">
      <c r="A639" s="1" t="s">
        <v>266</v>
      </c>
      <c r="B639" s="1"/>
      <c r="C639" s="1" t="s">
        <v>814</v>
      </c>
      <c r="E639" s="77">
        <v>60185.31</v>
      </c>
      <c r="F639" s="77"/>
      <c r="G639" s="77">
        <v>108081.33</v>
      </c>
      <c r="H639" s="77"/>
      <c r="I639" s="77">
        <v>109367.57</v>
      </c>
      <c r="J639" s="77"/>
      <c r="K639" s="77">
        <v>0</v>
      </c>
      <c r="L639" s="77"/>
      <c r="M639" s="77">
        <v>156707.6</v>
      </c>
      <c r="N639" s="77"/>
      <c r="O639" s="77">
        <v>2226.33</v>
      </c>
      <c r="P639" s="77"/>
      <c r="Q639" s="77">
        <v>2063.8200000000002</v>
      </c>
      <c r="R639" s="77"/>
      <c r="S639" s="77">
        <v>7173.83</v>
      </c>
      <c r="T639" s="77"/>
      <c r="U639" s="77">
        <v>0</v>
      </c>
      <c r="V639" s="77"/>
      <c r="W639" s="77">
        <v>0</v>
      </c>
      <c r="X639" s="77"/>
      <c r="Y639" s="77">
        <v>0</v>
      </c>
      <c r="Z639" s="77"/>
      <c r="AA639" s="77">
        <v>123927.34</v>
      </c>
      <c r="AB639" s="77"/>
      <c r="AC639" s="77">
        <v>0</v>
      </c>
      <c r="AD639" s="77"/>
      <c r="AE639" s="77">
        <v>0</v>
      </c>
      <c r="AF639" s="77"/>
      <c r="AG639" s="77">
        <v>0</v>
      </c>
      <c r="AH639" s="77"/>
      <c r="AI639" s="77">
        <f t="shared" si="27"/>
        <v>569733.13000000012</v>
      </c>
      <c r="AJ639" s="24"/>
      <c r="AK639" s="15" t="str">
        <f>'Gen Rev'!A639</f>
        <v>Sycamore</v>
      </c>
      <c r="AL639" s="15" t="str">
        <f t="shared" si="28"/>
        <v>Sycamore</v>
      </c>
      <c r="AM639" s="15" t="b">
        <f t="shared" si="29"/>
        <v>1</v>
      </c>
      <c r="AN639" s="31"/>
      <c r="AO639" s="31"/>
      <c r="AP639" s="31"/>
    </row>
    <row r="640" spans="1:42" ht="12" customHeight="1" x14ac:dyDescent="0.2">
      <c r="A640" s="1" t="s">
        <v>159</v>
      </c>
      <c r="B640" s="1"/>
      <c r="C640" s="1" t="s">
        <v>782</v>
      </c>
      <c r="E640" s="77">
        <v>59676.98</v>
      </c>
      <c r="F640" s="77"/>
      <c r="G640" s="77">
        <v>0</v>
      </c>
      <c r="H640" s="77"/>
      <c r="I640" s="77">
        <v>470087.65</v>
      </c>
      <c r="J640" s="77"/>
      <c r="K640" s="77">
        <v>36371</v>
      </c>
      <c r="L640" s="77"/>
      <c r="M640" s="77">
        <v>7857.13</v>
      </c>
      <c r="N640" s="77"/>
      <c r="O640" s="77">
        <v>19376.43</v>
      </c>
      <c r="P640" s="77"/>
      <c r="Q640" s="77">
        <v>1399.16</v>
      </c>
      <c r="R640" s="77"/>
      <c r="S640" s="77">
        <v>29931.84</v>
      </c>
      <c r="T640" s="77"/>
      <c r="U640" s="77">
        <v>0</v>
      </c>
      <c r="V640" s="77"/>
      <c r="W640" s="77">
        <v>0</v>
      </c>
      <c r="X640" s="77"/>
      <c r="Y640" s="77">
        <v>0</v>
      </c>
      <c r="Z640" s="77"/>
      <c r="AA640" s="77">
        <v>3000</v>
      </c>
      <c r="AB640" s="77"/>
      <c r="AC640" s="77">
        <v>0</v>
      </c>
      <c r="AD640" s="77"/>
      <c r="AE640" s="77">
        <v>349.25</v>
      </c>
      <c r="AF640" s="77"/>
      <c r="AG640" s="77">
        <v>0</v>
      </c>
      <c r="AH640" s="77"/>
      <c r="AI640" s="77">
        <f t="shared" si="27"/>
        <v>628049.44000000006</v>
      </c>
      <c r="AJ640" s="24"/>
      <c r="AK640" s="15" t="str">
        <f>'Gen Rev'!A640</f>
        <v>Syracuse</v>
      </c>
      <c r="AL640" s="15" t="str">
        <f t="shared" si="28"/>
        <v>Syracuse</v>
      </c>
      <c r="AM640" s="15" t="b">
        <f t="shared" si="29"/>
        <v>1</v>
      </c>
    </row>
    <row r="641" spans="1:42" ht="12" customHeight="1" x14ac:dyDescent="0.2">
      <c r="A641" s="1" t="s">
        <v>191</v>
      </c>
      <c r="B641" s="1"/>
      <c r="C641" s="1" t="s">
        <v>793</v>
      </c>
      <c r="E641" s="77">
        <v>5630.18</v>
      </c>
      <c r="F641" s="77"/>
      <c r="G641" s="77">
        <v>0</v>
      </c>
      <c r="H641" s="77"/>
      <c r="I641" s="77">
        <v>28911.08</v>
      </c>
      <c r="J641" s="77"/>
      <c r="K641" s="77">
        <v>0</v>
      </c>
      <c r="L641" s="77"/>
      <c r="M641" s="77">
        <v>2540</v>
      </c>
      <c r="N641" s="77"/>
      <c r="O641" s="77">
        <v>2651.31</v>
      </c>
      <c r="P641" s="77"/>
      <c r="Q641" s="77">
        <v>189.23</v>
      </c>
      <c r="R641" s="77"/>
      <c r="S641" s="77">
        <v>939.35</v>
      </c>
      <c r="T641" s="77"/>
      <c r="U641" s="77">
        <v>0</v>
      </c>
      <c r="V641" s="77"/>
      <c r="W641" s="77">
        <v>0</v>
      </c>
      <c r="X641" s="77"/>
      <c r="Y641" s="77">
        <v>0</v>
      </c>
      <c r="Z641" s="77"/>
      <c r="AA641" s="77">
        <v>6232.8</v>
      </c>
      <c r="AB641" s="77"/>
      <c r="AC641" s="77">
        <v>0</v>
      </c>
      <c r="AD641" s="77"/>
      <c r="AE641" s="77">
        <v>0</v>
      </c>
      <c r="AF641" s="77"/>
      <c r="AG641" s="77">
        <v>0</v>
      </c>
      <c r="AH641" s="77"/>
      <c r="AI641" s="77">
        <f t="shared" si="27"/>
        <v>47093.950000000004</v>
      </c>
      <c r="AJ641" s="24"/>
      <c r="AK641" s="15" t="str">
        <f>'Gen Rev'!A641</f>
        <v>Tarlton</v>
      </c>
      <c r="AL641" s="15" t="str">
        <f t="shared" si="28"/>
        <v>Tarlton</v>
      </c>
      <c r="AM641" s="15" t="b">
        <f t="shared" si="29"/>
        <v>1</v>
      </c>
    </row>
    <row r="642" spans="1:42" s="31" customFormat="1" ht="12" customHeight="1" x14ac:dyDescent="0.2">
      <c r="A642" s="1" t="s">
        <v>385</v>
      </c>
      <c r="B642" s="1"/>
      <c r="C642" s="1" t="s">
        <v>378</v>
      </c>
      <c r="D642" s="15"/>
      <c r="E642" s="77">
        <v>1210954.96</v>
      </c>
      <c r="F642" s="77"/>
      <c r="G642" s="77">
        <v>0</v>
      </c>
      <c r="H642" s="77"/>
      <c r="I642" s="77">
        <v>433604.04</v>
      </c>
      <c r="J642" s="77"/>
      <c r="K642" s="77">
        <v>48512.26</v>
      </c>
      <c r="L642" s="77"/>
      <c r="M642" s="77">
        <v>0</v>
      </c>
      <c r="N642" s="77"/>
      <c r="O642" s="77">
        <v>105412.68</v>
      </c>
      <c r="P642" s="77"/>
      <c r="Q642" s="77">
        <v>2201.86</v>
      </c>
      <c r="R642" s="77"/>
      <c r="S642" s="77">
        <v>20740.169999999998</v>
      </c>
      <c r="T642" s="77"/>
      <c r="U642" s="77">
        <v>0</v>
      </c>
      <c r="V642" s="77"/>
      <c r="W642" s="77">
        <v>0</v>
      </c>
      <c r="X642" s="77"/>
      <c r="Y642" s="77">
        <v>0</v>
      </c>
      <c r="Z642" s="77"/>
      <c r="AA642" s="77">
        <v>0</v>
      </c>
      <c r="AB642" s="77"/>
      <c r="AC642" s="77">
        <v>0</v>
      </c>
      <c r="AD642" s="77"/>
      <c r="AE642" s="77">
        <v>0</v>
      </c>
      <c r="AF642" s="77"/>
      <c r="AG642" s="77">
        <v>0</v>
      </c>
      <c r="AH642" s="77"/>
      <c r="AI642" s="77">
        <f t="shared" si="27"/>
        <v>1821425.97</v>
      </c>
      <c r="AJ642" s="24"/>
      <c r="AK642" s="15" t="str">
        <f>'Gen Rev'!A642</f>
        <v>Terrace Park</v>
      </c>
      <c r="AL642" s="15" t="str">
        <f t="shared" si="28"/>
        <v>Terrace Park</v>
      </c>
      <c r="AM642" s="15" t="b">
        <f t="shared" si="29"/>
        <v>1</v>
      </c>
      <c r="AN642" s="15"/>
      <c r="AO642" s="15"/>
      <c r="AP642" s="15"/>
    </row>
    <row r="643" spans="1:42" s="31" customFormat="1" ht="12" customHeight="1" x14ac:dyDescent="0.2">
      <c r="A643" s="1" t="s">
        <v>503</v>
      </c>
      <c r="B643" s="1"/>
      <c r="C643" s="1" t="s">
        <v>500</v>
      </c>
      <c r="D643" s="15"/>
      <c r="E643" s="77">
        <v>130727.58</v>
      </c>
      <c r="F643" s="77"/>
      <c r="G643" s="77">
        <v>0</v>
      </c>
      <c r="H643" s="77"/>
      <c r="I643" s="77">
        <v>95037.61</v>
      </c>
      <c r="J643" s="77"/>
      <c r="K643" s="77">
        <v>0</v>
      </c>
      <c r="L643" s="77"/>
      <c r="M643" s="77">
        <v>17845.25</v>
      </c>
      <c r="N643" s="77"/>
      <c r="O643" s="77">
        <v>45028.19</v>
      </c>
      <c r="P643" s="77"/>
      <c r="Q643" s="77">
        <v>15822.73</v>
      </c>
      <c r="R643" s="77"/>
      <c r="S643" s="77">
        <v>97716.94</v>
      </c>
      <c r="T643" s="77"/>
      <c r="U643" s="77">
        <v>0</v>
      </c>
      <c r="V643" s="77"/>
      <c r="W643" s="77">
        <v>0</v>
      </c>
      <c r="X643" s="77"/>
      <c r="Y643" s="77">
        <v>0</v>
      </c>
      <c r="Z643" s="77"/>
      <c r="AA643" s="77">
        <v>0</v>
      </c>
      <c r="AB643" s="77"/>
      <c r="AC643" s="77">
        <v>0</v>
      </c>
      <c r="AD643" s="77"/>
      <c r="AE643" s="77">
        <v>0</v>
      </c>
      <c r="AF643" s="77"/>
      <c r="AG643" s="77">
        <v>0</v>
      </c>
      <c r="AH643" s="77"/>
      <c r="AI643" s="77">
        <f t="shared" si="27"/>
        <v>402178.3</v>
      </c>
      <c r="AJ643" s="24"/>
      <c r="AK643" s="15" t="str">
        <f>'Gen Rev'!A643</f>
        <v>Thornville</v>
      </c>
      <c r="AL643" s="15" t="str">
        <f t="shared" si="28"/>
        <v>Thornville</v>
      </c>
      <c r="AM643" s="15" t="b">
        <f t="shared" si="29"/>
        <v>1</v>
      </c>
      <c r="AN643" s="15"/>
      <c r="AO643" s="15"/>
      <c r="AP643" s="15"/>
    </row>
    <row r="644" spans="1:42" ht="12" customHeight="1" x14ac:dyDescent="0.2">
      <c r="A644" s="1" t="s">
        <v>67</v>
      </c>
      <c r="B644" s="1"/>
      <c r="C644" s="1" t="s">
        <v>756</v>
      </c>
      <c r="E644" s="77">
        <v>22312.52</v>
      </c>
      <c r="F644" s="77"/>
      <c r="G644" s="77">
        <v>46878.34</v>
      </c>
      <c r="H644" s="77"/>
      <c r="I644" s="77">
        <v>42735.98</v>
      </c>
      <c r="J644" s="77"/>
      <c r="K644" s="77">
        <v>0</v>
      </c>
      <c r="L644" s="77"/>
      <c r="M644" s="77">
        <v>136020.06</v>
      </c>
      <c r="N644" s="77"/>
      <c r="O644" s="77">
        <v>0</v>
      </c>
      <c r="P644" s="77"/>
      <c r="Q644" s="77">
        <v>471.77</v>
      </c>
      <c r="R644" s="77"/>
      <c r="S644" s="77">
        <v>10719.22</v>
      </c>
      <c r="T644" s="77"/>
      <c r="U644" s="77">
        <v>0</v>
      </c>
      <c r="V644" s="77"/>
      <c r="W644" s="77">
        <v>0</v>
      </c>
      <c r="X644" s="77"/>
      <c r="Y644" s="77">
        <v>0</v>
      </c>
      <c r="Z644" s="77"/>
      <c r="AA644" s="77">
        <v>92.18</v>
      </c>
      <c r="AB644" s="77"/>
      <c r="AC644" s="77">
        <v>0</v>
      </c>
      <c r="AD644" s="77"/>
      <c r="AE644" s="77">
        <v>0</v>
      </c>
      <c r="AF644" s="77"/>
      <c r="AG644" s="77">
        <v>0</v>
      </c>
      <c r="AH644" s="77"/>
      <c r="AI644" s="77">
        <f t="shared" si="27"/>
        <v>259230.06999999998</v>
      </c>
      <c r="AJ644" s="24"/>
      <c r="AK644" s="15" t="str">
        <f>'Gen Rev'!A644</f>
        <v>Thurston</v>
      </c>
      <c r="AL644" s="15" t="str">
        <f t="shared" si="28"/>
        <v>Thurston</v>
      </c>
      <c r="AM644" s="15" t="b">
        <f t="shared" si="29"/>
        <v>1</v>
      </c>
    </row>
    <row r="645" spans="1:42" s="31" customFormat="1" ht="12" customHeight="1" x14ac:dyDescent="0.2">
      <c r="A645" s="36" t="s">
        <v>120</v>
      </c>
      <c r="B645" s="36"/>
      <c r="C645" s="36" t="s">
        <v>770</v>
      </c>
      <c r="D645" s="15"/>
      <c r="E645" s="77">
        <v>179503.07</v>
      </c>
      <c r="F645" s="77"/>
      <c r="G645" s="77">
        <v>0</v>
      </c>
      <c r="H645" s="77"/>
      <c r="I645" s="77">
        <v>79784.5</v>
      </c>
      <c r="J645" s="77"/>
      <c r="K645" s="77">
        <v>0</v>
      </c>
      <c r="L645" s="77"/>
      <c r="M645" s="77">
        <v>0</v>
      </c>
      <c r="N645" s="77"/>
      <c r="O645" s="77">
        <v>51503</v>
      </c>
      <c r="P645" s="77"/>
      <c r="Q645" s="77">
        <v>441.95</v>
      </c>
      <c r="R645" s="77"/>
      <c r="S645" s="77">
        <v>28671.58</v>
      </c>
      <c r="T645" s="77"/>
      <c r="U645" s="77">
        <v>0</v>
      </c>
      <c r="V645" s="77"/>
      <c r="W645" s="77">
        <v>0</v>
      </c>
      <c r="X645" s="77"/>
      <c r="Y645" s="77">
        <v>0</v>
      </c>
      <c r="Z645" s="77"/>
      <c r="AA645" s="77">
        <v>0</v>
      </c>
      <c r="AB645" s="77"/>
      <c r="AC645" s="77">
        <v>0</v>
      </c>
      <c r="AD645" s="77"/>
      <c r="AE645" s="77">
        <v>0</v>
      </c>
      <c r="AF645" s="77"/>
      <c r="AG645" s="77">
        <v>0</v>
      </c>
      <c r="AH645" s="77"/>
      <c r="AI645" s="77">
        <f t="shared" si="27"/>
        <v>339904.10000000003</v>
      </c>
      <c r="AJ645" s="24"/>
      <c r="AK645" s="15" t="str">
        <f>'Gen Rev'!A645</f>
        <v>Tiltonsville</v>
      </c>
      <c r="AL645" s="15" t="str">
        <f t="shared" si="28"/>
        <v>Tiltonsville</v>
      </c>
      <c r="AM645" s="15" t="b">
        <f t="shared" si="29"/>
        <v>1</v>
      </c>
    </row>
    <row r="646" spans="1:42" ht="12" customHeight="1" x14ac:dyDescent="0.2">
      <c r="A646" s="15" t="s">
        <v>434</v>
      </c>
      <c r="C646" s="15" t="s">
        <v>430</v>
      </c>
      <c r="E646" s="77">
        <v>280143</v>
      </c>
      <c r="F646" s="77"/>
      <c r="G646" s="77">
        <v>84600</v>
      </c>
      <c r="H646" s="77"/>
      <c r="I646" s="77">
        <v>72468</v>
      </c>
      <c r="J646" s="77"/>
      <c r="K646" s="77">
        <v>0</v>
      </c>
      <c r="L646" s="77"/>
      <c r="M646" s="77">
        <v>25515</v>
      </c>
      <c r="N646" s="77"/>
      <c r="O646" s="77">
        <v>11178</v>
      </c>
      <c r="P646" s="77"/>
      <c r="Q646" s="77">
        <v>286</v>
      </c>
      <c r="R646" s="77"/>
      <c r="S646" s="77">
        <v>35964</v>
      </c>
      <c r="T646" s="77"/>
      <c r="U646" s="77">
        <v>0</v>
      </c>
      <c r="V646" s="77"/>
      <c r="W646" s="77">
        <v>0</v>
      </c>
      <c r="X646" s="77"/>
      <c r="Y646" s="77">
        <v>0</v>
      </c>
      <c r="Z646" s="77"/>
      <c r="AA646" s="77">
        <v>0</v>
      </c>
      <c r="AB646" s="77"/>
      <c r="AC646" s="77">
        <v>0</v>
      </c>
      <c r="AD646" s="77"/>
      <c r="AE646" s="77">
        <v>0</v>
      </c>
      <c r="AF646" s="77"/>
      <c r="AG646" s="77">
        <v>0</v>
      </c>
      <c r="AH646" s="77"/>
      <c r="AI646" s="77">
        <f t="shared" si="27"/>
        <v>510154</v>
      </c>
      <c r="AJ646" s="24"/>
      <c r="AK646" s="15" t="str">
        <f>'Gen Rev'!A646</f>
        <v>Timberlake</v>
      </c>
      <c r="AL646" s="15" t="str">
        <f t="shared" si="28"/>
        <v>Timberlake</v>
      </c>
      <c r="AM646" s="15" t="b">
        <f t="shared" si="29"/>
        <v>1</v>
      </c>
      <c r="AN646" s="31"/>
      <c r="AO646" s="31"/>
      <c r="AP646" s="31"/>
    </row>
    <row r="647" spans="1:42" s="31" customFormat="1" ht="12" customHeight="1" x14ac:dyDescent="0.2">
      <c r="A647" s="1" t="s">
        <v>844</v>
      </c>
      <c r="B647" s="1"/>
      <c r="C647" s="1" t="s">
        <v>750</v>
      </c>
      <c r="D647" s="15"/>
      <c r="E647" s="77">
        <v>4636.8500000000004</v>
      </c>
      <c r="F647" s="77"/>
      <c r="G647" s="77">
        <v>0</v>
      </c>
      <c r="H647" s="77"/>
      <c r="I647" s="77">
        <v>19834.48</v>
      </c>
      <c r="J647" s="77"/>
      <c r="K647" s="77">
        <v>0</v>
      </c>
      <c r="L647" s="77"/>
      <c r="M647" s="77">
        <v>100</v>
      </c>
      <c r="N647" s="77"/>
      <c r="O647" s="77">
        <v>0</v>
      </c>
      <c r="P647" s="77"/>
      <c r="Q647" s="77">
        <v>407.06</v>
      </c>
      <c r="R647" s="77"/>
      <c r="S647" s="77">
        <v>0</v>
      </c>
      <c r="T647" s="77"/>
      <c r="U647" s="77">
        <v>0</v>
      </c>
      <c r="V647" s="77"/>
      <c r="W647" s="77">
        <v>0</v>
      </c>
      <c r="X647" s="77"/>
      <c r="Y647" s="77">
        <v>0</v>
      </c>
      <c r="Z647" s="77"/>
      <c r="AA647" s="77">
        <v>0</v>
      </c>
      <c r="AB647" s="77"/>
      <c r="AC647" s="77">
        <v>0</v>
      </c>
      <c r="AD647" s="77"/>
      <c r="AE647" s="77">
        <v>0</v>
      </c>
      <c r="AF647" s="77"/>
      <c r="AG647" s="77">
        <v>0</v>
      </c>
      <c r="AH647" s="77"/>
      <c r="AI647" s="77">
        <f t="shared" si="27"/>
        <v>24978.390000000003</v>
      </c>
      <c r="AJ647" s="24"/>
      <c r="AK647" s="15" t="str">
        <f>'Gen Rev'!A647</f>
        <v>Tiro</v>
      </c>
      <c r="AL647" s="15" t="str">
        <f t="shared" si="28"/>
        <v>Tiro</v>
      </c>
      <c r="AM647" s="15" t="b">
        <f t="shared" si="29"/>
        <v>1</v>
      </c>
    </row>
    <row r="648" spans="1:42" ht="12" customHeight="1" x14ac:dyDescent="0.2">
      <c r="A648" s="1" t="s">
        <v>607</v>
      </c>
      <c r="B648" s="1"/>
      <c r="C648" s="1" t="s">
        <v>601</v>
      </c>
      <c r="E648" s="77">
        <v>24026.98</v>
      </c>
      <c r="F648" s="77"/>
      <c r="G648" s="77">
        <v>75480.2</v>
      </c>
      <c r="H648" s="77"/>
      <c r="I648" s="77">
        <v>61706.84</v>
      </c>
      <c r="J648" s="77"/>
      <c r="K648" s="77">
        <v>8538.5</v>
      </c>
      <c r="L648" s="77"/>
      <c r="M648" s="77">
        <v>0</v>
      </c>
      <c r="N648" s="77"/>
      <c r="O648" s="77">
        <v>3935.96</v>
      </c>
      <c r="P648" s="77"/>
      <c r="Q648" s="77">
        <v>159.05000000000001</v>
      </c>
      <c r="R648" s="77"/>
      <c r="S648" s="77">
        <v>4032.72</v>
      </c>
      <c r="T648" s="77"/>
      <c r="U648" s="77">
        <v>0</v>
      </c>
      <c r="V648" s="77"/>
      <c r="W648" s="77">
        <v>0</v>
      </c>
      <c r="X648" s="77"/>
      <c r="Y648" s="77">
        <v>0</v>
      </c>
      <c r="Z648" s="77"/>
      <c r="AA648" s="77">
        <v>0</v>
      </c>
      <c r="AB648" s="77"/>
      <c r="AC648" s="77">
        <v>0</v>
      </c>
      <c r="AD648" s="77"/>
      <c r="AE648" s="77">
        <v>0</v>
      </c>
      <c r="AF648" s="77"/>
      <c r="AG648" s="77">
        <v>0</v>
      </c>
      <c r="AH648" s="77"/>
      <c r="AI648" s="77">
        <f t="shared" si="27"/>
        <v>177880.24999999997</v>
      </c>
      <c r="AJ648" s="24"/>
      <c r="AK648" s="15" t="str">
        <f>'Gen Rev'!A648</f>
        <v>Tontogany</v>
      </c>
      <c r="AL648" s="15" t="str">
        <f t="shared" si="28"/>
        <v>Tontogany</v>
      </c>
      <c r="AM648" s="15" t="b">
        <f t="shared" si="29"/>
        <v>1</v>
      </c>
    </row>
    <row r="649" spans="1:42" ht="12" customHeight="1" x14ac:dyDescent="0.2">
      <c r="A649" s="15" t="s">
        <v>940</v>
      </c>
      <c r="C649" s="15" t="s">
        <v>271</v>
      </c>
      <c r="E649" s="77">
        <v>29451</v>
      </c>
      <c r="F649" s="77"/>
      <c r="G649" s="77">
        <v>0</v>
      </c>
      <c r="H649" s="77"/>
      <c r="I649" s="77">
        <v>35547</v>
      </c>
      <c r="J649" s="77"/>
      <c r="K649" s="77">
        <v>0</v>
      </c>
      <c r="L649" s="77"/>
      <c r="M649" s="77">
        <v>1500</v>
      </c>
      <c r="N649" s="77"/>
      <c r="O649" s="77">
        <v>11834</v>
      </c>
      <c r="P649" s="77"/>
      <c r="Q649" s="77">
        <v>0</v>
      </c>
      <c r="R649" s="77"/>
      <c r="S649" s="77">
        <v>4747</v>
      </c>
      <c r="T649" s="77"/>
      <c r="U649" s="77">
        <v>0</v>
      </c>
      <c r="V649" s="77"/>
      <c r="W649" s="77">
        <v>0</v>
      </c>
      <c r="X649" s="77"/>
      <c r="Y649" s="77">
        <v>0</v>
      </c>
      <c r="Z649" s="77"/>
      <c r="AA649" s="77">
        <v>0</v>
      </c>
      <c r="AB649" s="77"/>
      <c r="AC649" s="77">
        <v>0</v>
      </c>
      <c r="AD649" s="77"/>
      <c r="AE649" s="77">
        <v>0</v>
      </c>
      <c r="AF649" s="77"/>
      <c r="AG649" s="77">
        <v>0</v>
      </c>
      <c r="AH649" s="77"/>
      <c r="AI649" s="77">
        <f t="shared" si="27"/>
        <v>83079</v>
      </c>
      <c r="AJ649" s="24"/>
      <c r="AK649" s="15" t="str">
        <f>'Gen Rev'!A649</f>
        <v>Trimble</v>
      </c>
      <c r="AL649" s="15" t="str">
        <f t="shared" si="28"/>
        <v>Trimble</v>
      </c>
      <c r="AM649" s="15" t="b">
        <f t="shared" si="29"/>
        <v>1</v>
      </c>
    </row>
    <row r="650" spans="1:42" s="31" customFormat="1" ht="12" customHeight="1" x14ac:dyDescent="0.2">
      <c r="A650" s="1" t="s">
        <v>560</v>
      </c>
      <c r="B650" s="1"/>
      <c r="C650" s="1" t="s">
        <v>560</v>
      </c>
      <c r="D650" s="24"/>
      <c r="E650" s="77">
        <v>113448.2</v>
      </c>
      <c r="F650" s="77"/>
      <c r="G650" s="77">
        <v>70355.42</v>
      </c>
      <c r="H650" s="77"/>
      <c r="I650" s="77">
        <v>66891.520000000004</v>
      </c>
      <c r="J650" s="77"/>
      <c r="K650" s="77">
        <v>909.39</v>
      </c>
      <c r="L650" s="77"/>
      <c r="M650" s="77">
        <v>55377.62</v>
      </c>
      <c r="N650" s="77"/>
      <c r="O650" s="77">
        <v>1610</v>
      </c>
      <c r="P650" s="77"/>
      <c r="Q650" s="77">
        <v>1514.58</v>
      </c>
      <c r="R650" s="77"/>
      <c r="S650" s="77">
        <v>6697.88</v>
      </c>
      <c r="T650" s="77"/>
      <c r="U650" s="77">
        <v>0</v>
      </c>
      <c r="V650" s="77"/>
      <c r="W650" s="77">
        <v>0</v>
      </c>
      <c r="X650" s="77"/>
      <c r="Y650" s="77">
        <v>0</v>
      </c>
      <c r="Z650" s="77"/>
      <c r="AA650" s="77">
        <v>0</v>
      </c>
      <c r="AB650" s="77"/>
      <c r="AC650" s="77">
        <v>0</v>
      </c>
      <c r="AD650" s="77"/>
      <c r="AE650" s="77">
        <v>0</v>
      </c>
      <c r="AF650" s="77"/>
      <c r="AG650" s="77">
        <v>0</v>
      </c>
      <c r="AH650" s="77"/>
      <c r="AI650" s="77">
        <f t="shared" si="27"/>
        <v>316804.61000000004</v>
      </c>
      <c r="AJ650" s="24"/>
      <c r="AK650" s="15" t="str">
        <f>'Gen Rev'!A650</f>
        <v>Tuscarawas</v>
      </c>
      <c r="AL650" s="15" t="str">
        <f t="shared" si="28"/>
        <v>Tuscarawas</v>
      </c>
      <c r="AM650" s="15" t="b">
        <f t="shared" si="29"/>
        <v>1</v>
      </c>
      <c r="AN650" s="24"/>
      <c r="AO650" s="24"/>
      <c r="AP650" s="24"/>
    </row>
    <row r="651" spans="1:42" s="31" customFormat="1" ht="12" customHeight="1" x14ac:dyDescent="0.2">
      <c r="A651" s="15" t="s">
        <v>337</v>
      </c>
      <c r="B651" s="15"/>
      <c r="C651" s="15" t="s">
        <v>329</v>
      </c>
      <c r="D651" s="15"/>
      <c r="E651" s="77">
        <v>175487</v>
      </c>
      <c r="F651" s="77"/>
      <c r="G651" s="77">
        <v>218064</v>
      </c>
      <c r="H651" s="77"/>
      <c r="I651" s="77">
        <v>99690</v>
      </c>
      <c r="J651" s="77"/>
      <c r="K651" s="77">
        <v>0</v>
      </c>
      <c r="L651" s="77"/>
      <c r="M651" s="77">
        <v>557579</v>
      </c>
      <c r="N651" s="77"/>
      <c r="O651" s="77">
        <v>41435</v>
      </c>
      <c r="P651" s="77"/>
      <c r="Q651" s="77">
        <v>891</v>
      </c>
      <c r="R651" s="77"/>
      <c r="S651" s="77">
        <v>14937</v>
      </c>
      <c r="T651" s="77"/>
      <c r="U651" s="77">
        <v>0</v>
      </c>
      <c r="V651" s="77"/>
      <c r="W651" s="77">
        <v>0</v>
      </c>
      <c r="X651" s="77"/>
      <c r="Y651" s="77">
        <v>0</v>
      </c>
      <c r="Z651" s="77"/>
      <c r="AA651" s="77">
        <v>229086</v>
      </c>
      <c r="AB651" s="77"/>
      <c r="AC651" s="77">
        <v>0</v>
      </c>
      <c r="AD651" s="77"/>
      <c r="AE651" s="77">
        <v>0</v>
      </c>
      <c r="AF651" s="77"/>
      <c r="AG651" s="77">
        <v>0</v>
      </c>
      <c r="AH651" s="77"/>
      <c r="AI651" s="77">
        <f t="shared" si="27"/>
        <v>1337169</v>
      </c>
      <c r="AJ651" s="24"/>
      <c r="AK651" s="15" t="str">
        <f>'Gen Rev'!A651</f>
        <v>Union City</v>
      </c>
      <c r="AL651" s="15" t="str">
        <f t="shared" si="28"/>
        <v>Union City</v>
      </c>
      <c r="AM651" s="15" t="b">
        <f t="shared" si="29"/>
        <v>1</v>
      </c>
      <c r="AN651" s="30"/>
      <c r="AO651" s="30"/>
      <c r="AP651" s="30"/>
    </row>
    <row r="652" spans="1:42" ht="12" customHeight="1" x14ac:dyDescent="0.2">
      <c r="A652" s="10" t="s">
        <v>569</v>
      </c>
      <c r="B652" s="10"/>
      <c r="C652" s="10" t="s">
        <v>570</v>
      </c>
      <c r="E652" s="77">
        <v>7762.59</v>
      </c>
      <c r="F652" s="77"/>
      <c r="G652" s="77">
        <v>0</v>
      </c>
      <c r="H652" s="77"/>
      <c r="I652" s="77">
        <v>20195.3</v>
      </c>
      <c r="J652" s="77"/>
      <c r="K652" s="77">
        <v>0</v>
      </c>
      <c r="L652" s="77"/>
      <c r="M652" s="77">
        <v>495</v>
      </c>
      <c r="N652" s="77"/>
      <c r="O652" s="77">
        <v>1160</v>
      </c>
      <c r="P652" s="77"/>
      <c r="Q652" s="77">
        <v>11.76</v>
      </c>
      <c r="R652" s="77"/>
      <c r="S652" s="77">
        <v>0</v>
      </c>
      <c r="T652" s="77"/>
      <c r="U652" s="77">
        <v>0</v>
      </c>
      <c r="V652" s="77"/>
      <c r="W652" s="77">
        <v>0</v>
      </c>
      <c r="X652" s="77"/>
      <c r="Y652" s="77">
        <v>0</v>
      </c>
      <c r="Z652" s="77"/>
      <c r="AA652" s="77">
        <v>0</v>
      </c>
      <c r="AB652" s="77"/>
      <c r="AC652" s="77">
        <v>0</v>
      </c>
      <c r="AD652" s="77"/>
      <c r="AE652" s="77">
        <v>0</v>
      </c>
      <c r="AF652" s="77"/>
      <c r="AG652" s="77">
        <v>0</v>
      </c>
      <c r="AH652" s="77"/>
      <c r="AI652" s="77">
        <f t="shared" si="27"/>
        <v>29624.649999999998</v>
      </c>
      <c r="AJ652" s="24"/>
      <c r="AK652" s="15" t="str">
        <f>'Gen Rev'!A652</f>
        <v>Unionville Center</v>
      </c>
      <c r="AL652" s="15" t="str">
        <f t="shared" si="28"/>
        <v>Unionville Center</v>
      </c>
      <c r="AM652" s="15" t="b">
        <f t="shared" si="29"/>
        <v>1</v>
      </c>
      <c r="AN652" s="31"/>
      <c r="AO652" s="31"/>
      <c r="AP652" s="31"/>
    </row>
    <row r="653" spans="1:42" s="31" customFormat="1" ht="12" customHeight="1" x14ac:dyDescent="0.2">
      <c r="A653" s="1" t="s">
        <v>13</v>
      </c>
      <c r="B653" s="1"/>
      <c r="C653" s="1" t="s">
        <v>740</v>
      </c>
      <c r="D653" s="15"/>
      <c r="E653" s="77">
        <v>5641.68</v>
      </c>
      <c r="F653" s="77"/>
      <c r="G653" s="77">
        <v>0</v>
      </c>
      <c r="H653" s="77"/>
      <c r="I653" s="77">
        <v>56245.14</v>
      </c>
      <c r="J653" s="77"/>
      <c r="K653" s="77">
        <v>0</v>
      </c>
      <c r="L653" s="77"/>
      <c r="M653" s="77">
        <v>0</v>
      </c>
      <c r="N653" s="77"/>
      <c r="O653" s="77">
        <v>0</v>
      </c>
      <c r="P653" s="77"/>
      <c r="Q653" s="77">
        <v>78.41</v>
      </c>
      <c r="R653" s="77"/>
      <c r="S653" s="77">
        <v>16886.54</v>
      </c>
      <c r="T653" s="77"/>
      <c r="U653" s="77">
        <v>0</v>
      </c>
      <c r="V653" s="77"/>
      <c r="W653" s="77">
        <v>0</v>
      </c>
      <c r="X653" s="77"/>
      <c r="Y653" s="77">
        <v>0</v>
      </c>
      <c r="Z653" s="77"/>
      <c r="AA653" s="77">
        <v>0</v>
      </c>
      <c r="AB653" s="77"/>
      <c r="AC653" s="77">
        <v>0</v>
      </c>
      <c r="AD653" s="77"/>
      <c r="AE653" s="77">
        <v>0</v>
      </c>
      <c r="AF653" s="77"/>
      <c r="AG653" s="77">
        <v>0</v>
      </c>
      <c r="AH653" s="77"/>
      <c r="AI653" s="77">
        <f t="shared" si="27"/>
        <v>78851.77</v>
      </c>
      <c r="AJ653" s="24"/>
      <c r="AK653" s="15" t="str">
        <f>'Gen Rev'!A653</f>
        <v>Uniopolis</v>
      </c>
      <c r="AL653" s="15" t="str">
        <f t="shared" si="28"/>
        <v>Uniopolis</v>
      </c>
      <c r="AM653" s="15" t="b">
        <f t="shared" si="29"/>
        <v>1</v>
      </c>
    </row>
    <row r="654" spans="1:42" ht="12" customHeight="1" x14ac:dyDescent="0.2">
      <c r="A654" s="1" t="s">
        <v>76</v>
      </c>
      <c r="B654" s="1"/>
      <c r="C654" s="1" t="s">
        <v>758</v>
      </c>
      <c r="E654" s="77">
        <v>11747.25</v>
      </c>
      <c r="F654" s="77"/>
      <c r="G654" s="77">
        <v>948069.76</v>
      </c>
      <c r="H654" s="77"/>
      <c r="I654" s="77">
        <v>139387.67000000001</v>
      </c>
      <c r="J654" s="77"/>
      <c r="K654" s="77">
        <v>0</v>
      </c>
      <c r="L654" s="77"/>
      <c r="M654" s="77">
        <v>0</v>
      </c>
      <c r="N654" s="77"/>
      <c r="O654" s="77">
        <v>6563.35</v>
      </c>
      <c r="P654" s="77"/>
      <c r="Q654" s="77">
        <v>750.1</v>
      </c>
      <c r="R654" s="77"/>
      <c r="S654" s="77">
        <v>2655.7</v>
      </c>
      <c r="T654" s="77"/>
      <c r="U654" s="77">
        <v>0</v>
      </c>
      <c r="V654" s="77"/>
      <c r="W654" s="77">
        <v>500000</v>
      </c>
      <c r="X654" s="77"/>
      <c r="Y654" s="77">
        <v>0</v>
      </c>
      <c r="Z654" s="77"/>
      <c r="AA654" s="77">
        <v>597956.36</v>
      </c>
      <c r="AB654" s="77"/>
      <c r="AC654" s="77">
        <v>0</v>
      </c>
      <c r="AD654" s="77"/>
      <c r="AE654" s="77">
        <v>0</v>
      </c>
      <c r="AF654" s="77"/>
      <c r="AG654" s="77">
        <v>0</v>
      </c>
      <c r="AH654" s="77"/>
      <c r="AI654" s="77">
        <f t="shared" si="27"/>
        <v>2207130.19</v>
      </c>
      <c r="AJ654" s="24"/>
      <c r="AK654" s="15" t="str">
        <f>'Gen Rev'!A654</f>
        <v>Urbancrest</v>
      </c>
      <c r="AL654" s="15" t="str">
        <f t="shared" si="28"/>
        <v>Urbancrest</v>
      </c>
      <c r="AM654" s="15" t="b">
        <f t="shared" si="29"/>
        <v>1</v>
      </c>
      <c r="AN654" s="31"/>
      <c r="AO654" s="31"/>
      <c r="AP654" s="31"/>
    </row>
    <row r="655" spans="1:42" ht="12" customHeight="1" x14ac:dyDescent="0.2">
      <c r="A655" s="15" t="s">
        <v>444</v>
      </c>
      <c r="C655" s="15" t="s">
        <v>439</v>
      </c>
      <c r="E655" s="77">
        <v>77865</v>
      </c>
      <c r="F655" s="77"/>
      <c r="G655" s="77">
        <f>370452+72082+61877</f>
        <v>504411</v>
      </c>
      <c r="H655" s="77"/>
      <c r="I655" s="77">
        <f>68668+88416</f>
        <v>157084</v>
      </c>
      <c r="J655" s="77"/>
      <c r="K655" s="77">
        <v>0</v>
      </c>
      <c r="L655" s="77"/>
      <c r="M655" s="77">
        <f>421+10900+135249</f>
        <v>146570</v>
      </c>
      <c r="N655" s="77"/>
      <c r="O655" s="77">
        <f>25180+1202</f>
        <v>26382</v>
      </c>
      <c r="P655" s="77"/>
      <c r="Q655" s="77">
        <v>1618</v>
      </c>
      <c r="R655" s="77"/>
      <c r="S655" s="77">
        <f>164328+1517</f>
        <v>165845</v>
      </c>
      <c r="T655" s="77"/>
      <c r="U655" s="77">
        <v>0</v>
      </c>
      <c r="V655" s="77"/>
      <c r="W655" s="77">
        <v>0</v>
      </c>
      <c r="X655" s="77"/>
      <c r="Y655" s="77">
        <v>0</v>
      </c>
      <c r="Z655" s="77"/>
      <c r="AA655" s="77">
        <f>146000+72104</f>
        <v>218104</v>
      </c>
      <c r="AB655" s="77"/>
      <c r="AC655" s="77">
        <v>0</v>
      </c>
      <c r="AD655" s="77"/>
      <c r="AE655" s="77">
        <v>0</v>
      </c>
      <c r="AF655" s="77"/>
      <c r="AG655" s="77">
        <v>0</v>
      </c>
      <c r="AH655" s="77"/>
      <c r="AI655" s="77">
        <f t="shared" si="27"/>
        <v>1297879</v>
      </c>
      <c r="AJ655" s="24"/>
      <c r="AK655" s="15" t="str">
        <f>'Gen Rev'!A655</f>
        <v>Utica</v>
      </c>
      <c r="AL655" s="15" t="str">
        <f t="shared" si="28"/>
        <v>Utica</v>
      </c>
      <c r="AM655" s="15" t="b">
        <f t="shared" si="29"/>
        <v>1</v>
      </c>
      <c r="AN655" s="31"/>
      <c r="AO655" s="31"/>
      <c r="AP655" s="31"/>
    </row>
    <row r="656" spans="1:42" ht="12" customHeight="1" x14ac:dyDescent="0.2">
      <c r="A656" s="15" t="s">
        <v>448</v>
      </c>
      <c r="C656" s="15" t="s">
        <v>446</v>
      </c>
      <c r="E656" s="77">
        <v>2897</v>
      </c>
      <c r="F656" s="77"/>
      <c r="G656" s="77">
        <v>30628</v>
      </c>
      <c r="H656" s="77"/>
      <c r="I656" s="77">
        <v>9697</v>
      </c>
      <c r="J656" s="77"/>
      <c r="K656" s="77">
        <v>0</v>
      </c>
      <c r="L656" s="77"/>
      <c r="M656" s="77">
        <v>0</v>
      </c>
      <c r="N656" s="77"/>
      <c r="O656" s="77">
        <v>1164</v>
      </c>
      <c r="P656" s="77"/>
      <c r="Q656" s="77">
        <v>415</v>
      </c>
      <c r="R656" s="77"/>
      <c r="S656" s="77">
        <v>0</v>
      </c>
      <c r="T656" s="77"/>
      <c r="U656" s="77">
        <v>0</v>
      </c>
      <c r="V656" s="77"/>
      <c r="W656" s="77">
        <v>0</v>
      </c>
      <c r="X656" s="77"/>
      <c r="Y656" s="77">
        <v>0</v>
      </c>
      <c r="Z656" s="77"/>
      <c r="AA656" s="77">
        <v>0</v>
      </c>
      <c r="AB656" s="77"/>
      <c r="AC656" s="77">
        <v>0</v>
      </c>
      <c r="AD656" s="77"/>
      <c r="AE656" s="77">
        <v>0</v>
      </c>
      <c r="AF656" s="77"/>
      <c r="AG656" s="77">
        <v>0</v>
      </c>
      <c r="AH656" s="77"/>
      <c r="AI656" s="77">
        <f t="shared" si="27"/>
        <v>44801</v>
      </c>
      <c r="AJ656" s="24"/>
      <c r="AK656" s="15" t="str">
        <f>'Gen Rev'!A656</f>
        <v>Valley Hi</v>
      </c>
      <c r="AL656" s="15" t="str">
        <f t="shared" si="28"/>
        <v>Valley Hi</v>
      </c>
      <c r="AM656" s="15" t="b">
        <f t="shared" si="29"/>
        <v>1</v>
      </c>
    </row>
    <row r="657" spans="1:42" s="31" customFormat="1" ht="12" customHeight="1" x14ac:dyDescent="0.2">
      <c r="A657" s="15" t="s">
        <v>326</v>
      </c>
      <c r="B657" s="15"/>
      <c r="C657" s="15" t="s">
        <v>316</v>
      </c>
      <c r="D657" s="15"/>
      <c r="E657" s="77">
        <v>1373811</v>
      </c>
      <c r="F657" s="77"/>
      <c r="G657" s="77">
        <v>10509168</v>
      </c>
      <c r="H657" s="77"/>
      <c r="I657" s="77">
        <v>960978</v>
      </c>
      <c r="J657" s="77"/>
      <c r="K657" s="77">
        <v>125919</v>
      </c>
      <c r="L657" s="77"/>
      <c r="M657" s="77">
        <v>177434</v>
      </c>
      <c r="N657" s="77"/>
      <c r="O657" s="77">
        <v>136153</v>
      </c>
      <c r="P657" s="77"/>
      <c r="Q657" s="77">
        <v>4741</v>
      </c>
      <c r="R657" s="77"/>
      <c r="S657" s="77">
        <v>76010</v>
      </c>
      <c r="T657" s="77"/>
      <c r="U657" s="77">
        <v>0</v>
      </c>
      <c r="V657" s="77"/>
      <c r="W657" s="77">
        <v>0</v>
      </c>
      <c r="X657" s="77"/>
      <c r="Y657" s="77">
        <v>0</v>
      </c>
      <c r="Z657" s="77"/>
      <c r="AA657" s="77">
        <v>668000</v>
      </c>
      <c r="AB657" s="77"/>
      <c r="AC657" s="77">
        <v>342996</v>
      </c>
      <c r="AD657" s="77"/>
      <c r="AE657" s="77">
        <v>110000</v>
      </c>
      <c r="AF657" s="77"/>
      <c r="AG657" s="77">
        <v>0</v>
      </c>
      <c r="AH657" s="77"/>
      <c r="AI657" s="77">
        <f t="shared" si="27"/>
        <v>14485210</v>
      </c>
      <c r="AJ657" s="24"/>
      <c r="AK657" s="15" t="str">
        <f>'Gen Rev'!A657</f>
        <v>Valley View</v>
      </c>
      <c r="AL657" s="15" t="str">
        <f t="shared" si="28"/>
        <v>Valley View</v>
      </c>
      <c r="AM657" s="15" t="b">
        <f t="shared" si="29"/>
        <v>1</v>
      </c>
      <c r="AN657" s="30"/>
      <c r="AO657" s="30"/>
      <c r="AP657" s="30"/>
    </row>
    <row r="658" spans="1:42" ht="12" customHeight="1" x14ac:dyDescent="0.2">
      <c r="A658" s="1" t="s">
        <v>77</v>
      </c>
      <c r="B658" s="1"/>
      <c r="C658" s="1" t="s">
        <v>758</v>
      </c>
      <c r="E658" s="77">
        <v>136950.12</v>
      </c>
      <c r="F658" s="77"/>
      <c r="G658" s="77">
        <v>55796.29</v>
      </c>
      <c r="H658" s="77"/>
      <c r="I658" s="77">
        <v>98257.51</v>
      </c>
      <c r="J658" s="77"/>
      <c r="K658" s="77">
        <v>0</v>
      </c>
      <c r="L658" s="77"/>
      <c r="M658" s="77">
        <v>0</v>
      </c>
      <c r="N658" s="77"/>
      <c r="O658" s="77">
        <v>66530.710000000006</v>
      </c>
      <c r="P658" s="77"/>
      <c r="Q658" s="77">
        <v>50.86</v>
      </c>
      <c r="R658" s="77"/>
      <c r="S658" s="77">
        <v>6400.76</v>
      </c>
      <c r="T658" s="77"/>
      <c r="U658" s="77">
        <v>0</v>
      </c>
      <c r="V658" s="77"/>
      <c r="W658" s="77">
        <v>0</v>
      </c>
      <c r="X658" s="77"/>
      <c r="Y658" s="77">
        <v>0</v>
      </c>
      <c r="Z658" s="77"/>
      <c r="AA658" s="77">
        <v>9500</v>
      </c>
      <c r="AB658" s="77"/>
      <c r="AC658" s="77">
        <v>0</v>
      </c>
      <c r="AD658" s="77"/>
      <c r="AE658" s="77">
        <v>16.07</v>
      </c>
      <c r="AF658" s="77"/>
      <c r="AG658" s="77">
        <v>0</v>
      </c>
      <c r="AH658" s="77"/>
      <c r="AI658" s="77">
        <f t="shared" si="27"/>
        <v>373502.32</v>
      </c>
      <c r="AJ658" s="24"/>
      <c r="AK658" s="15" t="str">
        <f>'Gen Rev'!A658</f>
        <v>Valleyview</v>
      </c>
      <c r="AL658" s="15" t="str">
        <f t="shared" si="28"/>
        <v>Valleyview</v>
      </c>
      <c r="AM658" s="15" t="b">
        <f t="shared" si="29"/>
        <v>1</v>
      </c>
    </row>
    <row r="659" spans="1:42" ht="12" customHeight="1" x14ac:dyDescent="0.2">
      <c r="A659" s="1" t="s">
        <v>393</v>
      </c>
      <c r="B659" s="1"/>
      <c r="C659" s="1" t="s">
        <v>388</v>
      </c>
      <c r="E659" s="77">
        <v>24906.97</v>
      </c>
      <c r="F659" s="77"/>
      <c r="G659" s="77">
        <v>0</v>
      </c>
      <c r="H659" s="77"/>
      <c r="I659" s="77">
        <v>226768.85</v>
      </c>
      <c r="J659" s="77"/>
      <c r="K659" s="77">
        <v>127477.13</v>
      </c>
      <c r="L659" s="77"/>
      <c r="M659" s="77">
        <v>16522.5</v>
      </c>
      <c r="N659" s="77"/>
      <c r="O659" s="77">
        <v>826</v>
      </c>
      <c r="P659" s="77"/>
      <c r="Q659" s="77">
        <v>117.63</v>
      </c>
      <c r="R659" s="77"/>
      <c r="S659" s="77">
        <v>0</v>
      </c>
      <c r="T659" s="77"/>
      <c r="U659" s="77">
        <v>0</v>
      </c>
      <c r="V659" s="77"/>
      <c r="W659" s="77">
        <v>0</v>
      </c>
      <c r="X659" s="77"/>
      <c r="Y659" s="77">
        <v>0</v>
      </c>
      <c r="Z659" s="77"/>
      <c r="AA659" s="77">
        <v>0</v>
      </c>
      <c r="AB659" s="77"/>
      <c r="AC659" s="77">
        <v>0</v>
      </c>
      <c r="AD659" s="77"/>
      <c r="AE659" s="77">
        <v>0</v>
      </c>
      <c r="AF659" s="77"/>
      <c r="AG659" s="77">
        <v>0</v>
      </c>
      <c r="AH659" s="77"/>
      <c r="AI659" s="77">
        <f t="shared" si="27"/>
        <v>396619.08</v>
      </c>
      <c r="AJ659" s="24"/>
      <c r="AK659" s="15" t="str">
        <f>'Gen Rev'!A659</f>
        <v>Van Buren</v>
      </c>
      <c r="AL659" s="15" t="str">
        <f t="shared" si="28"/>
        <v>Van Buren</v>
      </c>
      <c r="AM659" s="15" t="b">
        <f t="shared" si="29"/>
        <v>1</v>
      </c>
      <c r="AN659" s="31"/>
      <c r="AO659" s="31"/>
      <c r="AP659" s="31"/>
    </row>
    <row r="660" spans="1:42" ht="12" customHeight="1" x14ac:dyDescent="0.2">
      <c r="A660" s="1" t="s">
        <v>394</v>
      </c>
      <c r="B660" s="1"/>
      <c r="C660" s="1" t="s">
        <v>388</v>
      </c>
      <c r="E660" s="77">
        <v>4726.59</v>
      </c>
      <c r="F660" s="77"/>
      <c r="G660" s="77">
        <v>0</v>
      </c>
      <c r="H660" s="77"/>
      <c r="I660" s="77">
        <v>49250.53</v>
      </c>
      <c r="J660" s="77"/>
      <c r="K660" s="77">
        <v>8401.64</v>
      </c>
      <c r="L660" s="77"/>
      <c r="M660" s="77">
        <v>0</v>
      </c>
      <c r="N660" s="77"/>
      <c r="O660" s="77">
        <v>725</v>
      </c>
      <c r="P660" s="77"/>
      <c r="Q660" s="77">
        <v>501.71</v>
      </c>
      <c r="R660" s="77"/>
      <c r="S660" s="77">
        <v>13663.14</v>
      </c>
      <c r="T660" s="77"/>
      <c r="U660" s="77">
        <v>0</v>
      </c>
      <c r="V660" s="77"/>
      <c r="W660" s="77">
        <v>0</v>
      </c>
      <c r="X660" s="77"/>
      <c r="Y660" s="77">
        <v>0</v>
      </c>
      <c r="Z660" s="77"/>
      <c r="AA660" s="77">
        <v>0</v>
      </c>
      <c r="AB660" s="77"/>
      <c r="AC660" s="77">
        <v>0</v>
      </c>
      <c r="AD660" s="77"/>
      <c r="AE660" s="77">
        <v>0</v>
      </c>
      <c r="AF660" s="77"/>
      <c r="AG660" s="77">
        <v>0</v>
      </c>
      <c r="AH660" s="77"/>
      <c r="AI660" s="77">
        <f t="shared" si="27"/>
        <v>77268.609999999986</v>
      </c>
      <c r="AJ660" s="24"/>
      <c r="AK660" s="15" t="str">
        <f>'Gen Rev'!A660</f>
        <v>Vanlue</v>
      </c>
      <c r="AL660" s="15" t="str">
        <f t="shared" si="28"/>
        <v>Vanlue</v>
      </c>
      <c r="AM660" s="15" t="b">
        <f t="shared" si="29"/>
        <v>1</v>
      </c>
    </row>
    <row r="661" spans="1:42" ht="12" customHeight="1" x14ac:dyDescent="0.2">
      <c r="A661" s="1" t="s">
        <v>575</v>
      </c>
      <c r="B661" s="1"/>
      <c r="C661" s="1" t="s">
        <v>572</v>
      </c>
      <c r="E661" s="77">
        <v>4944.07</v>
      </c>
      <c r="F661" s="77"/>
      <c r="G661" s="77">
        <v>0</v>
      </c>
      <c r="H661" s="77"/>
      <c r="I661" s="77">
        <v>17430.64</v>
      </c>
      <c r="J661" s="77"/>
      <c r="K661" s="77">
        <v>0</v>
      </c>
      <c r="L661" s="77"/>
      <c r="M661" s="77">
        <v>0</v>
      </c>
      <c r="N661" s="77"/>
      <c r="O661" s="77">
        <v>0</v>
      </c>
      <c r="P661" s="77"/>
      <c r="Q661" s="77">
        <v>43.83</v>
      </c>
      <c r="R661" s="77"/>
      <c r="S661" s="77">
        <v>514.20000000000005</v>
      </c>
      <c r="T661" s="77"/>
      <c r="U661" s="77">
        <v>0</v>
      </c>
      <c r="V661" s="77"/>
      <c r="W661" s="77">
        <v>0</v>
      </c>
      <c r="X661" s="77"/>
      <c r="Y661" s="77">
        <v>0</v>
      </c>
      <c r="Z661" s="77"/>
      <c r="AA661" s="77">
        <v>0</v>
      </c>
      <c r="AB661" s="77"/>
      <c r="AC661" s="77">
        <v>0</v>
      </c>
      <c r="AD661" s="77"/>
      <c r="AE661" s="77">
        <v>0</v>
      </c>
      <c r="AF661" s="77"/>
      <c r="AG661" s="77">
        <v>0</v>
      </c>
      <c r="AH661" s="77"/>
      <c r="AI661" s="77">
        <f t="shared" si="27"/>
        <v>22932.74</v>
      </c>
      <c r="AJ661" s="24"/>
      <c r="AK661" s="15" t="str">
        <f>'Gen Rev'!A661</f>
        <v>Venedocia</v>
      </c>
      <c r="AL661" s="15" t="str">
        <f t="shared" si="28"/>
        <v>Venedocia</v>
      </c>
      <c r="AM661" s="15" t="b">
        <f t="shared" si="29"/>
        <v>1</v>
      </c>
    </row>
    <row r="662" spans="1:42" ht="12" customHeight="1" x14ac:dyDescent="0.2">
      <c r="A662" s="15" t="s">
        <v>511</v>
      </c>
      <c r="C662" s="15" t="s">
        <v>509</v>
      </c>
      <c r="E662" s="77">
        <v>128986</v>
      </c>
      <c r="F662" s="77"/>
      <c r="G662" s="77">
        <v>0</v>
      </c>
      <c r="H662" s="77"/>
      <c r="I662" s="77">
        <f>11967+257</f>
        <v>12224</v>
      </c>
      <c r="J662" s="77"/>
      <c r="K662" s="77">
        <v>0</v>
      </c>
      <c r="L662" s="77"/>
      <c r="M662" s="77">
        <v>545367</v>
      </c>
      <c r="N662" s="77"/>
      <c r="O662" s="77">
        <v>1450</v>
      </c>
      <c r="P662" s="77"/>
      <c r="Q662" s="77">
        <v>381</v>
      </c>
      <c r="R662" s="77"/>
      <c r="S662" s="77">
        <v>91439</v>
      </c>
      <c r="T662" s="77"/>
      <c r="U662" s="77">
        <v>0</v>
      </c>
      <c r="V662" s="77"/>
      <c r="W662" s="77">
        <v>0</v>
      </c>
      <c r="X662" s="77"/>
      <c r="Y662" s="77">
        <v>0</v>
      </c>
      <c r="Z662" s="77"/>
      <c r="AA662" s="77">
        <v>113984</v>
      </c>
      <c r="AB662" s="77"/>
      <c r="AC662" s="77">
        <v>0</v>
      </c>
      <c r="AD662" s="77"/>
      <c r="AE662" s="77">
        <v>0</v>
      </c>
      <c r="AF662" s="77"/>
      <c r="AG662" s="77">
        <v>0</v>
      </c>
      <c r="AH662" s="77"/>
      <c r="AI662" s="77">
        <f t="shared" si="27"/>
        <v>893831</v>
      </c>
      <c r="AJ662" s="24"/>
      <c r="AK662" s="15" t="str">
        <f>'Gen Rev'!A662</f>
        <v>Verona</v>
      </c>
      <c r="AL662" s="15" t="str">
        <f t="shared" si="28"/>
        <v>Verona</v>
      </c>
      <c r="AM662" s="15" t="b">
        <f t="shared" si="29"/>
        <v>1</v>
      </c>
    </row>
    <row r="663" spans="1:42" s="31" customFormat="1" ht="12" customHeight="1" x14ac:dyDescent="0.2">
      <c r="A663" s="15" t="s">
        <v>338</v>
      </c>
      <c r="B663" s="15"/>
      <c r="C663" s="15" t="s">
        <v>329</v>
      </c>
      <c r="D663" s="15"/>
      <c r="E663" s="77">
        <v>157871</v>
      </c>
      <c r="F663" s="77"/>
      <c r="G663" s="77">
        <v>2024656</v>
      </c>
      <c r="H663" s="77"/>
      <c r="I663" s="77">
        <v>1142792</v>
      </c>
      <c r="J663" s="77"/>
      <c r="K663" s="77">
        <v>60351</v>
      </c>
      <c r="L663" s="77"/>
      <c r="M663" s="77">
        <v>301216</v>
      </c>
      <c r="N663" s="77"/>
      <c r="O663" s="77">
        <v>14693</v>
      </c>
      <c r="P663" s="77"/>
      <c r="Q663" s="77">
        <v>42084</v>
      </c>
      <c r="R663" s="77"/>
      <c r="S663" s="77">
        <v>155121</v>
      </c>
      <c r="T663" s="77"/>
      <c r="U663" s="77">
        <v>0</v>
      </c>
      <c r="V663" s="77"/>
      <c r="W663" s="77">
        <v>0</v>
      </c>
      <c r="X663" s="77"/>
      <c r="Y663" s="77">
        <v>0</v>
      </c>
      <c r="Z663" s="77"/>
      <c r="AA663" s="77">
        <v>1095405</v>
      </c>
      <c r="AB663" s="77"/>
      <c r="AC663" s="77">
        <v>50000</v>
      </c>
      <c r="AD663" s="77"/>
      <c r="AE663" s="77">
        <v>156973</v>
      </c>
      <c r="AF663" s="77"/>
      <c r="AG663" s="77">
        <v>0</v>
      </c>
      <c r="AH663" s="77"/>
      <c r="AI663" s="77">
        <f t="shared" si="27"/>
        <v>5201162</v>
      </c>
      <c r="AJ663" s="24"/>
      <c r="AK663" s="15" t="str">
        <f>'Gen Rev'!A663</f>
        <v>Versailles</v>
      </c>
      <c r="AL663" s="15" t="str">
        <f t="shared" si="28"/>
        <v>Versailles</v>
      </c>
      <c r="AM663" s="15" t="b">
        <f t="shared" si="29"/>
        <v>1</v>
      </c>
      <c r="AN663" s="30"/>
      <c r="AO663" s="30"/>
      <c r="AP663" s="30"/>
    </row>
    <row r="664" spans="1:42" s="31" customFormat="1" ht="12" customHeight="1" x14ac:dyDescent="0.2">
      <c r="A664" s="1" t="s">
        <v>82</v>
      </c>
      <c r="B664" s="1"/>
      <c r="C664" s="1" t="s">
        <v>760</v>
      </c>
      <c r="D664" s="15"/>
      <c r="E664" s="77">
        <v>16708.95</v>
      </c>
      <c r="F664" s="77"/>
      <c r="G664" s="77">
        <v>0</v>
      </c>
      <c r="H664" s="77"/>
      <c r="I664" s="77">
        <v>119777.52</v>
      </c>
      <c r="J664" s="77"/>
      <c r="K664" s="77">
        <v>0</v>
      </c>
      <c r="L664" s="77"/>
      <c r="M664" s="77">
        <v>15850</v>
      </c>
      <c r="N664" s="77"/>
      <c r="O664" s="77">
        <v>33</v>
      </c>
      <c r="P664" s="77"/>
      <c r="Q664" s="77">
        <v>0</v>
      </c>
      <c r="R664" s="77"/>
      <c r="S664" s="77">
        <v>4458.76</v>
      </c>
      <c r="T664" s="77"/>
      <c r="U664" s="77">
        <v>0</v>
      </c>
      <c r="V664" s="77"/>
      <c r="W664" s="77">
        <v>0</v>
      </c>
      <c r="X664" s="77"/>
      <c r="Y664" s="77">
        <v>0</v>
      </c>
      <c r="Z664" s="77"/>
      <c r="AA664" s="77">
        <v>0</v>
      </c>
      <c r="AB664" s="77"/>
      <c r="AC664" s="77">
        <v>0</v>
      </c>
      <c r="AD664" s="77"/>
      <c r="AE664" s="77">
        <v>0</v>
      </c>
      <c r="AF664" s="77"/>
      <c r="AG664" s="77">
        <v>0</v>
      </c>
      <c r="AH664" s="77"/>
      <c r="AI664" s="77">
        <f t="shared" si="27"/>
        <v>156828.23000000001</v>
      </c>
      <c r="AJ664" s="24"/>
      <c r="AK664" s="15" t="str">
        <f>'Gen Rev'!A664</f>
        <v>Vinton</v>
      </c>
      <c r="AL664" s="15" t="str">
        <f t="shared" si="28"/>
        <v>Vinton</v>
      </c>
      <c r="AM664" s="15" t="b">
        <f t="shared" si="29"/>
        <v>1</v>
      </c>
      <c r="AN664" s="15"/>
      <c r="AO664" s="15"/>
      <c r="AP664" s="15"/>
    </row>
    <row r="665" spans="1:42" s="31" customFormat="1" ht="12" customHeight="1" x14ac:dyDescent="0.2">
      <c r="A665" s="15" t="s">
        <v>435</v>
      </c>
      <c r="B665" s="15"/>
      <c r="C665" s="15" t="s">
        <v>430</v>
      </c>
      <c r="D665" s="15"/>
      <c r="E665" s="77">
        <v>629492</v>
      </c>
      <c r="F665" s="77"/>
      <c r="G665" s="77">
        <v>0</v>
      </c>
      <c r="H665" s="77"/>
      <c r="I665" s="77">
        <v>350271</v>
      </c>
      <c r="J665" s="77"/>
      <c r="K665" s="77">
        <v>0</v>
      </c>
      <c r="L665" s="77"/>
      <c r="M665" s="77">
        <v>0</v>
      </c>
      <c r="N665" s="77"/>
      <c r="O665" s="77">
        <v>4846</v>
      </c>
      <c r="P665" s="77"/>
      <c r="Q665" s="77">
        <v>461694</v>
      </c>
      <c r="R665" s="77"/>
      <c r="S665" s="77">
        <v>58810</v>
      </c>
      <c r="T665" s="77"/>
      <c r="U665" s="77">
        <v>0</v>
      </c>
      <c r="V665" s="77"/>
      <c r="W665" s="77">
        <v>0</v>
      </c>
      <c r="X665" s="77"/>
      <c r="Y665" s="77">
        <v>0</v>
      </c>
      <c r="Z665" s="77"/>
      <c r="AA665" s="77">
        <v>235000</v>
      </c>
      <c r="AB665" s="77"/>
      <c r="AC665" s="77">
        <v>0</v>
      </c>
      <c r="AD665" s="77"/>
      <c r="AE665" s="77">
        <v>0</v>
      </c>
      <c r="AF665" s="77"/>
      <c r="AG665" s="77">
        <v>0</v>
      </c>
      <c r="AH665" s="77"/>
      <c r="AI665" s="77">
        <f t="shared" si="27"/>
        <v>1740113</v>
      </c>
      <c r="AJ665" s="24"/>
      <c r="AK665" s="15" t="str">
        <f>'Gen Rev'!A665</f>
        <v>Waite Hill</v>
      </c>
      <c r="AL665" s="15" t="str">
        <f t="shared" si="28"/>
        <v>Waite Hill</v>
      </c>
      <c r="AM665" s="15" t="b">
        <f t="shared" si="29"/>
        <v>1</v>
      </c>
    </row>
    <row r="666" spans="1:42" ht="12" customHeight="1" x14ac:dyDescent="0.2">
      <c r="A666" s="1" t="s">
        <v>419</v>
      </c>
      <c r="B666" s="1"/>
      <c r="C666" s="1" t="s">
        <v>416</v>
      </c>
      <c r="E666" s="77">
        <v>73890.83</v>
      </c>
      <c r="F666" s="77"/>
      <c r="G666" s="77">
        <v>160776.24</v>
      </c>
      <c r="H666" s="77"/>
      <c r="I666" s="77">
        <v>167856.92</v>
      </c>
      <c r="J666" s="77"/>
      <c r="K666" s="77">
        <v>666.62</v>
      </c>
      <c r="L666" s="77"/>
      <c r="M666" s="77">
        <v>0</v>
      </c>
      <c r="N666" s="77"/>
      <c r="O666" s="77">
        <v>43430.080000000002</v>
      </c>
      <c r="P666" s="77"/>
      <c r="Q666" s="77">
        <v>141.78</v>
      </c>
      <c r="R666" s="77"/>
      <c r="S666" s="77">
        <v>7403.4</v>
      </c>
      <c r="T666" s="77"/>
      <c r="U666" s="77">
        <v>0</v>
      </c>
      <c r="V666" s="77"/>
      <c r="W666" s="77">
        <v>0</v>
      </c>
      <c r="X666" s="77"/>
      <c r="Y666" s="77">
        <v>0</v>
      </c>
      <c r="Z666" s="77"/>
      <c r="AA666" s="77">
        <v>61580</v>
      </c>
      <c r="AB666" s="77"/>
      <c r="AC666" s="77">
        <v>0</v>
      </c>
      <c r="AD666" s="77"/>
      <c r="AE666" s="77">
        <f>6811+65861.03</f>
        <v>72672.03</v>
      </c>
      <c r="AF666" s="77"/>
      <c r="AG666" s="77">
        <v>0</v>
      </c>
      <c r="AH666" s="77"/>
      <c r="AI666" s="77">
        <f t="shared" si="27"/>
        <v>588417.9</v>
      </c>
      <c r="AJ666" s="24"/>
      <c r="AK666" s="15" t="str">
        <f>'Gen Rev'!A666</f>
        <v>Wakeman</v>
      </c>
      <c r="AL666" s="15" t="str">
        <f t="shared" si="28"/>
        <v>Wakeman</v>
      </c>
      <c r="AM666" s="15" t="b">
        <f t="shared" si="29"/>
        <v>1</v>
      </c>
      <c r="AN666" s="31"/>
      <c r="AO666" s="31"/>
      <c r="AP666" s="31"/>
    </row>
    <row r="667" spans="1:42" ht="12" customHeight="1" x14ac:dyDescent="0.2">
      <c r="A667" s="1" t="s">
        <v>261</v>
      </c>
      <c r="B667" s="1"/>
      <c r="C667" s="1" t="s">
        <v>601</v>
      </c>
      <c r="E667" s="77">
        <v>69398.81</v>
      </c>
      <c r="F667" s="77"/>
      <c r="G667" s="77">
        <v>861774.13</v>
      </c>
      <c r="H667" s="77"/>
      <c r="I667" s="77">
        <v>309478.32</v>
      </c>
      <c r="J667" s="77"/>
      <c r="K667" s="77">
        <v>31688.240000000002</v>
      </c>
      <c r="L667" s="77"/>
      <c r="M667" s="77">
        <v>24661.599999999999</v>
      </c>
      <c r="N667" s="77"/>
      <c r="O667" s="77">
        <v>42449.71</v>
      </c>
      <c r="P667" s="77"/>
      <c r="Q667" s="77">
        <v>9810.73</v>
      </c>
      <c r="R667" s="77"/>
      <c r="S667" s="77">
        <v>147520.68</v>
      </c>
      <c r="T667" s="77"/>
      <c r="U667" s="77">
        <v>0</v>
      </c>
      <c r="V667" s="77"/>
      <c r="W667" s="77">
        <v>0</v>
      </c>
      <c r="X667" s="77"/>
      <c r="Y667" s="77">
        <v>0</v>
      </c>
      <c r="Z667" s="77"/>
      <c r="AA667" s="77">
        <v>0</v>
      </c>
      <c r="AB667" s="77"/>
      <c r="AC667" s="77">
        <v>0</v>
      </c>
      <c r="AD667" s="77"/>
      <c r="AE667" s="77">
        <v>0</v>
      </c>
      <c r="AF667" s="77"/>
      <c r="AG667" s="77">
        <v>0</v>
      </c>
      <c r="AH667" s="77"/>
      <c r="AI667" s="77">
        <f t="shared" si="27"/>
        <v>1496782.22</v>
      </c>
      <c r="AJ667" s="24"/>
      <c r="AK667" s="15" t="str">
        <f>'Gen Rev'!A667</f>
        <v>Walbridge</v>
      </c>
      <c r="AL667" s="15" t="str">
        <f t="shared" si="28"/>
        <v>Walbridge</v>
      </c>
      <c r="AM667" s="15" t="b">
        <f t="shared" si="29"/>
        <v>1</v>
      </c>
      <c r="AN667" s="31"/>
      <c r="AO667" s="31"/>
      <c r="AP667" s="31"/>
    </row>
    <row r="668" spans="1:42" ht="12" customHeight="1" x14ac:dyDescent="0.2">
      <c r="A668" s="1" t="s">
        <v>151</v>
      </c>
      <c r="B668" s="1"/>
      <c r="C668" s="1" t="s">
        <v>463</v>
      </c>
      <c r="E668" s="77">
        <v>35886.800000000003</v>
      </c>
      <c r="F668" s="77"/>
      <c r="G668" s="77">
        <v>0</v>
      </c>
      <c r="H668" s="77"/>
      <c r="I668" s="77">
        <v>32049.79</v>
      </c>
      <c r="J668" s="77"/>
      <c r="K668" s="77">
        <v>0</v>
      </c>
      <c r="L668" s="77"/>
      <c r="M668" s="77">
        <v>0</v>
      </c>
      <c r="N668" s="77"/>
      <c r="O668" s="77">
        <v>785</v>
      </c>
      <c r="P668" s="77"/>
      <c r="Q668" s="77">
        <v>1285.43</v>
      </c>
      <c r="R668" s="77"/>
      <c r="S668" s="77">
        <v>74264.039999999994</v>
      </c>
      <c r="T668" s="77"/>
      <c r="U668" s="77">
        <v>0</v>
      </c>
      <c r="V668" s="77"/>
      <c r="W668" s="77">
        <v>0</v>
      </c>
      <c r="X668" s="77"/>
      <c r="Y668" s="77">
        <v>0</v>
      </c>
      <c r="Z668" s="77"/>
      <c r="AA668" s="77">
        <v>0</v>
      </c>
      <c r="AB668" s="77"/>
      <c r="AC668" s="77">
        <v>0</v>
      </c>
      <c r="AD668" s="77"/>
      <c r="AE668" s="77">
        <v>12650</v>
      </c>
      <c r="AF668" s="77"/>
      <c r="AG668" s="77">
        <v>0</v>
      </c>
      <c r="AH668" s="77"/>
      <c r="AI668" s="77">
        <f t="shared" si="27"/>
        <v>156921.06</v>
      </c>
      <c r="AJ668" s="24"/>
      <c r="AK668" s="15" t="str">
        <f>'Gen Rev'!A668</f>
        <v>Waldo</v>
      </c>
      <c r="AL668" s="15" t="str">
        <f t="shared" si="28"/>
        <v>Waldo</v>
      </c>
      <c r="AM668" s="15" t="b">
        <f t="shared" si="29"/>
        <v>1</v>
      </c>
    </row>
    <row r="669" spans="1:42" s="31" customFormat="1" ht="12" customHeight="1" x14ac:dyDescent="0.2">
      <c r="A669" s="15" t="s">
        <v>50</v>
      </c>
      <c r="B669" s="15"/>
      <c r="C669" s="15" t="s">
        <v>316</v>
      </c>
      <c r="D669" s="24"/>
      <c r="E669" s="77">
        <v>51431.69</v>
      </c>
      <c r="F669" s="77"/>
      <c r="G669" s="77">
        <v>3390673.03</v>
      </c>
      <c r="H669" s="77"/>
      <c r="I669" s="77">
        <v>2169108.56</v>
      </c>
      <c r="J669" s="77"/>
      <c r="K669" s="77">
        <v>2341.1</v>
      </c>
      <c r="L669" s="77"/>
      <c r="M669" s="77">
        <v>126617.93</v>
      </c>
      <c r="N669" s="77"/>
      <c r="O669" s="77">
        <v>255851.34</v>
      </c>
      <c r="P669" s="77"/>
      <c r="Q669" s="77">
        <v>830.88</v>
      </c>
      <c r="R669" s="77"/>
      <c r="S669" s="77">
        <v>213864.56</v>
      </c>
      <c r="T669" s="77"/>
      <c r="U669" s="77">
        <v>0</v>
      </c>
      <c r="V669" s="77"/>
      <c r="W669" s="77">
        <v>0</v>
      </c>
      <c r="X669" s="77"/>
      <c r="Y669" s="77">
        <v>3327</v>
      </c>
      <c r="Z669" s="77"/>
      <c r="AA669" s="77">
        <v>555000</v>
      </c>
      <c r="AB669" s="77"/>
      <c r="AC669" s="77">
        <v>0</v>
      </c>
      <c r="AD669" s="77"/>
      <c r="AE669" s="77">
        <v>850</v>
      </c>
      <c r="AF669" s="77"/>
      <c r="AG669" s="77">
        <v>0</v>
      </c>
      <c r="AH669" s="77"/>
      <c r="AI669" s="77">
        <f t="shared" si="27"/>
        <v>6769896.089999998</v>
      </c>
      <c r="AJ669" s="24"/>
      <c r="AK669" s="15" t="str">
        <f>'Gen Rev'!A669</f>
        <v>Walton Hills</v>
      </c>
      <c r="AL669" s="15" t="str">
        <f t="shared" si="28"/>
        <v>Walton Hills</v>
      </c>
      <c r="AM669" s="15" t="b">
        <f t="shared" si="29"/>
        <v>1</v>
      </c>
      <c r="AN669" s="29"/>
      <c r="AO669" s="29"/>
      <c r="AP669" s="29"/>
    </row>
    <row r="670" spans="1:42" ht="12" customHeight="1" x14ac:dyDescent="0.2">
      <c r="A670" s="1" t="s">
        <v>835</v>
      </c>
      <c r="B670" s="1"/>
      <c r="C670" s="1" t="s">
        <v>308</v>
      </c>
      <c r="E670" s="77">
        <v>60661.19</v>
      </c>
      <c r="F670" s="77"/>
      <c r="G670" s="77">
        <v>0</v>
      </c>
      <c r="H670" s="77"/>
      <c r="I670" s="77">
        <v>60224.08</v>
      </c>
      <c r="J670" s="77"/>
      <c r="K670" s="77">
        <v>0</v>
      </c>
      <c r="L670" s="77"/>
      <c r="M670" s="77">
        <v>122511.15</v>
      </c>
      <c r="N670" s="77"/>
      <c r="O670" s="77">
        <v>5690.83</v>
      </c>
      <c r="P670" s="77"/>
      <c r="Q670" s="77">
        <v>816.07</v>
      </c>
      <c r="R670" s="77"/>
      <c r="S670" s="77">
        <v>31990.49</v>
      </c>
      <c r="T670" s="77"/>
      <c r="U670" s="77">
        <v>0</v>
      </c>
      <c r="V670" s="77"/>
      <c r="W670" s="77">
        <v>0</v>
      </c>
      <c r="X670" s="77"/>
      <c r="Y670" s="77">
        <v>0</v>
      </c>
      <c r="Z670" s="77"/>
      <c r="AA670" s="77">
        <v>0</v>
      </c>
      <c r="AB670" s="77"/>
      <c r="AC670" s="77">
        <v>0</v>
      </c>
      <c r="AD670" s="77"/>
      <c r="AE670" s="77">
        <v>109.41</v>
      </c>
      <c r="AF670" s="77"/>
      <c r="AG670" s="77">
        <v>0</v>
      </c>
      <c r="AH670" s="77"/>
      <c r="AI670" s="77">
        <f t="shared" si="27"/>
        <v>282003.21999999997</v>
      </c>
      <c r="AJ670" s="24"/>
      <c r="AK670" s="15" t="str">
        <f>'Gen Rev'!A670</f>
        <v>Warsaw</v>
      </c>
      <c r="AL670" s="15" t="str">
        <f t="shared" si="28"/>
        <v>Warsaw</v>
      </c>
      <c r="AM670" s="15" t="b">
        <f t="shared" si="29"/>
        <v>1</v>
      </c>
      <c r="AN670" s="31"/>
      <c r="AO670" s="31"/>
      <c r="AP670" s="31"/>
    </row>
    <row r="671" spans="1:42" ht="12" customHeight="1" x14ac:dyDescent="0.2">
      <c r="A671" s="1" t="s">
        <v>48</v>
      </c>
      <c r="B671" s="1"/>
      <c r="C671" s="1" t="s">
        <v>305</v>
      </c>
      <c r="E671" s="77">
        <v>101437.06</v>
      </c>
      <c r="F671" s="77"/>
      <c r="G671" s="77">
        <v>0</v>
      </c>
      <c r="H671" s="77"/>
      <c r="I671" s="77">
        <v>62021.59</v>
      </c>
      <c r="J671" s="77"/>
      <c r="K671" s="77">
        <v>0</v>
      </c>
      <c r="L671" s="77"/>
      <c r="M671" s="77">
        <v>0</v>
      </c>
      <c r="N671" s="77"/>
      <c r="O671" s="77">
        <v>47413.48</v>
      </c>
      <c r="P671" s="77"/>
      <c r="Q671" s="77">
        <v>0.14000000000000001</v>
      </c>
      <c r="R671" s="77"/>
      <c r="S671" s="77">
        <v>1427.63</v>
      </c>
      <c r="T671" s="77"/>
      <c r="U671" s="77">
        <v>0</v>
      </c>
      <c r="V671" s="77"/>
      <c r="W671" s="77">
        <v>0</v>
      </c>
      <c r="X671" s="77"/>
      <c r="Y671" s="77">
        <v>0</v>
      </c>
      <c r="Z671" s="77"/>
      <c r="AA671" s="77">
        <v>0</v>
      </c>
      <c r="AB671" s="77"/>
      <c r="AC671" s="77">
        <v>0</v>
      </c>
      <c r="AD671" s="77"/>
      <c r="AE671" s="77">
        <v>0</v>
      </c>
      <c r="AF671" s="77"/>
      <c r="AG671" s="77">
        <v>0</v>
      </c>
      <c r="AH671" s="77"/>
      <c r="AI671" s="77">
        <f t="shared" si="27"/>
        <v>212299.90000000002</v>
      </c>
      <c r="AJ671" s="24"/>
      <c r="AK671" s="15" t="str">
        <f>'Gen Rev'!A671</f>
        <v>Washingtonville</v>
      </c>
      <c r="AL671" s="15" t="str">
        <f t="shared" si="28"/>
        <v>Washingtonville</v>
      </c>
      <c r="AM671" s="15" t="b">
        <f t="shared" si="29"/>
        <v>1</v>
      </c>
    </row>
    <row r="672" spans="1:42" s="31" customFormat="1" ht="12" hidden="1" customHeight="1" x14ac:dyDescent="0.2">
      <c r="A672" s="1" t="s">
        <v>457</v>
      </c>
      <c r="B672" s="1"/>
      <c r="C672" s="1" t="s">
        <v>455</v>
      </c>
      <c r="D672" s="15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>
        <f t="shared" si="27"/>
        <v>0</v>
      </c>
      <c r="AJ672" s="24"/>
      <c r="AK672" s="15" t="str">
        <f>'Gen Rev'!A672</f>
        <v>Waterville</v>
      </c>
      <c r="AL672" s="15" t="str">
        <f t="shared" si="28"/>
        <v>Waterville</v>
      </c>
      <c r="AM672" s="15" t="b">
        <f t="shared" si="29"/>
        <v>1</v>
      </c>
      <c r="AN672" s="30"/>
      <c r="AO672" s="30"/>
      <c r="AP672" s="30"/>
    </row>
    <row r="673" spans="1:42" s="31" customFormat="1" ht="12" customHeight="1" x14ac:dyDescent="0.2">
      <c r="A673" s="15" t="s">
        <v>965</v>
      </c>
      <c r="B673" s="15"/>
      <c r="C673" s="15" t="s">
        <v>506</v>
      </c>
      <c r="D673" s="15"/>
      <c r="E673" s="77">
        <f>1821814-1315630</f>
        <v>506184</v>
      </c>
      <c r="F673" s="77"/>
      <c r="G673" s="77">
        <v>1315630</v>
      </c>
      <c r="H673" s="77"/>
      <c r="I673" s="77">
        <v>749282</v>
      </c>
      <c r="J673" s="77"/>
      <c r="K673" s="77">
        <v>0</v>
      </c>
      <c r="L673" s="77"/>
      <c r="M673" s="77">
        <v>40620</v>
      </c>
      <c r="N673" s="77"/>
      <c r="O673" s="77">
        <f>72586+108181</f>
        <v>180767</v>
      </c>
      <c r="P673" s="77"/>
      <c r="Q673" s="77">
        <v>791</v>
      </c>
      <c r="R673" s="77"/>
      <c r="S673" s="77">
        <v>73906</v>
      </c>
      <c r="T673" s="77"/>
      <c r="U673" s="77">
        <v>0</v>
      </c>
      <c r="V673" s="77"/>
      <c r="W673" s="77">
        <v>560376</v>
      </c>
      <c r="X673" s="77"/>
      <c r="Y673" s="77">
        <v>0</v>
      </c>
      <c r="Z673" s="77"/>
      <c r="AA673" s="77">
        <v>805868</v>
      </c>
      <c r="AB673" s="77"/>
      <c r="AC673" s="77">
        <v>0</v>
      </c>
      <c r="AD673" s="77"/>
      <c r="AE673" s="77">
        <v>0</v>
      </c>
      <c r="AF673" s="77"/>
      <c r="AG673" s="77">
        <v>0</v>
      </c>
      <c r="AH673" s="77"/>
      <c r="AI673" s="77">
        <f t="shared" ref="AI673:AI724" si="30">SUM(E673:AG673)</f>
        <v>4233424</v>
      </c>
      <c r="AJ673" s="24"/>
      <c r="AK673" s="15" t="str">
        <f>'Gen Rev'!A673</f>
        <v>Waverly</v>
      </c>
      <c r="AL673" s="15" t="str">
        <f t="shared" ref="AL673:AL724" si="31">A673</f>
        <v>Waverly</v>
      </c>
      <c r="AM673" s="15" t="b">
        <f t="shared" ref="AM673:AM724" si="32">AK673=AL673</f>
        <v>1</v>
      </c>
    </row>
    <row r="674" spans="1:42" s="31" customFormat="1" ht="12" customHeight="1" x14ac:dyDescent="0.2">
      <c r="A674" s="15" t="s">
        <v>588</v>
      </c>
      <c r="B674" s="15"/>
      <c r="C674" s="15" t="s">
        <v>601</v>
      </c>
      <c r="D674" s="15"/>
      <c r="E674" s="77">
        <v>92725</v>
      </c>
      <c r="F674" s="77"/>
      <c r="G674" s="77">
        <v>0</v>
      </c>
      <c r="H674" s="77"/>
      <c r="I674" s="77">
        <v>76267</v>
      </c>
      <c r="J674" s="77"/>
      <c r="K674" s="77">
        <v>14436</v>
      </c>
      <c r="L674" s="77"/>
      <c r="M674" s="77">
        <v>57100</v>
      </c>
      <c r="N674" s="77"/>
      <c r="O674" s="77">
        <v>33886</v>
      </c>
      <c r="P674" s="77"/>
      <c r="Q674" s="77">
        <v>97</v>
      </c>
      <c r="R674" s="77"/>
      <c r="S674" s="77">
        <v>4527</v>
      </c>
      <c r="T674" s="77"/>
      <c r="U674" s="77">
        <v>0</v>
      </c>
      <c r="V674" s="77"/>
      <c r="W674" s="77">
        <v>0</v>
      </c>
      <c r="X674" s="77"/>
      <c r="Y674" s="77">
        <v>0</v>
      </c>
      <c r="Z674" s="77"/>
      <c r="AA674" s="77">
        <v>0</v>
      </c>
      <c r="AB674" s="77"/>
      <c r="AC674" s="77">
        <v>0</v>
      </c>
      <c r="AD674" s="77"/>
      <c r="AE674" s="77">
        <v>0</v>
      </c>
      <c r="AF674" s="77"/>
      <c r="AG674" s="77">
        <v>0</v>
      </c>
      <c r="AH674" s="77"/>
      <c r="AI674" s="77">
        <f t="shared" si="30"/>
        <v>279038</v>
      </c>
      <c r="AJ674" s="24"/>
      <c r="AK674" s="15" t="str">
        <f>'Gen Rev'!A674</f>
        <v>Wayne</v>
      </c>
      <c r="AL674" s="15" t="str">
        <f t="shared" si="31"/>
        <v>Wayne</v>
      </c>
      <c r="AM674" s="15" t="b">
        <f t="shared" si="32"/>
        <v>1</v>
      </c>
      <c r="AN674" s="30"/>
      <c r="AO674" s="30"/>
      <c r="AP674" s="30"/>
    </row>
    <row r="675" spans="1:42" ht="12" hidden="1" customHeight="1" x14ac:dyDescent="0.2">
      <c r="A675" s="1" t="s">
        <v>339</v>
      </c>
      <c r="B675" s="1"/>
      <c r="C675" s="1" t="s">
        <v>329</v>
      </c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>
        <f t="shared" si="30"/>
        <v>0</v>
      </c>
      <c r="AJ675" s="24"/>
      <c r="AK675" s="15" t="str">
        <f>'Gen Rev'!A675</f>
        <v>Wayne Lakes</v>
      </c>
      <c r="AL675" s="15" t="str">
        <f t="shared" si="31"/>
        <v>Wayne Lakes</v>
      </c>
      <c r="AM675" s="15" t="b">
        <f t="shared" si="32"/>
        <v>1</v>
      </c>
    </row>
    <row r="676" spans="1:42" s="31" customFormat="1" ht="12" customHeight="1" x14ac:dyDescent="0.2">
      <c r="A676" s="15" t="s">
        <v>547</v>
      </c>
      <c r="B676" s="15"/>
      <c r="C676" s="15" t="s">
        <v>540</v>
      </c>
      <c r="D676" s="15"/>
      <c r="E676" s="77">
        <v>152932</v>
      </c>
      <c r="F676" s="77"/>
      <c r="G676" s="77">
        <v>0</v>
      </c>
      <c r="H676" s="77"/>
      <c r="I676" s="77">
        <v>88880</v>
      </c>
      <c r="J676" s="77"/>
      <c r="K676" s="77">
        <v>0</v>
      </c>
      <c r="L676" s="77"/>
      <c r="M676" s="77">
        <v>58550</v>
      </c>
      <c r="N676" s="77"/>
      <c r="O676" s="77">
        <v>18624</v>
      </c>
      <c r="P676" s="77"/>
      <c r="Q676" s="77">
        <v>1366</v>
      </c>
      <c r="R676" s="77"/>
      <c r="S676" s="77">
        <v>60037</v>
      </c>
      <c r="T676" s="77"/>
      <c r="U676" s="77">
        <v>0</v>
      </c>
      <c r="V676" s="77"/>
      <c r="W676" s="77">
        <v>0</v>
      </c>
      <c r="X676" s="77"/>
      <c r="Y676" s="77">
        <v>0</v>
      </c>
      <c r="Z676" s="77"/>
      <c r="AA676" s="77">
        <v>0</v>
      </c>
      <c r="AB676" s="77"/>
      <c r="AC676" s="77">
        <v>0</v>
      </c>
      <c r="AD676" s="77"/>
      <c r="AE676" s="77">
        <v>120000</v>
      </c>
      <c r="AF676" s="77"/>
      <c r="AG676" s="77">
        <v>0</v>
      </c>
      <c r="AH676" s="77"/>
      <c r="AI676" s="77">
        <f t="shared" si="30"/>
        <v>500389</v>
      </c>
      <c r="AJ676" s="24"/>
      <c r="AK676" s="15" t="str">
        <f>'Gen Rev'!A676</f>
        <v>Waynesburg</v>
      </c>
      <c r="AL676" s="15" t="str">
        <f t="shared" si="31"/>
        <v>Waynesburg</v>
      </c>
      <c r="AM676" s="15" t="b">
        <f t="shared" si="32"/>
        <v>1</v>
      </c>
      <c r="AN676" s="15"/>
      <c r="AO676" s="15"/>
      <c r="AP676" s="15"/>
    </row>
    <row r="677" spans="1:42" s="31" customFormat="1" ht="12" customHeight="1" x14ac:dyDescent="0.2">
      <c r="A677" s="1" t="s">
        <v>14</v>
      </c>
      <c r="B677" s="1"/>
      <c r="C677" s="1" t="s">
        <v>740</v>
      </c>
      <c r="D677" s="15"/>
      <c r="E677" s="77">
        <v>46739.37</v>
      </c>
      <c r="F677" s="77"/>
      <c r="G677" s="77">
        <v>129315.23</v>
      </c>
      <c r="H677" s="77"/>
      <c r="I677" s="77">
        <v>132392.59</v>
      </c>
      <c r="J677" s="77"/>
      <c r="K677" s="77">
        <v>90.76</v>
      </c>
      <c r="L677" s="77"/>
      <c r="M677" s="77">
        <v>3342.25</v>
      </c>
      <c r="N677" s="77"/>
      <c r="O677" s="77">
        <v>12898.67</v>
      </c>
      <c r="P677" s="77"/>
      <c r="Q677" s="77">
        <v>661.85</v>
      </c>
      <c r="R677" s="77"/>
      <c r="S677" s="77">
        <v>15544.84</v>
      </c>
      <c r="T677" s="77"/>
      <c r="U677" s="77">
        <v>0</v>
      </c>
      <c r="V677" s="77"/>
      <c r="W677" s="77">
        <v>0</v>
      </c>
      <c r="X677" s="77"/>
      <c r="Y677" s="77">
        <v>0</v>
      </c>
      <c r="Z677" s="77"/>
      <c r="AA677" s="77">
        <v>0</v>
      </c>
      <c r="AB677" s="77"/>
      <c r="AC677" s="77">
        <v>0</v>
      </c>
      <c r="AD677" s="77"/>
      <c r="AE677" s="77">
        <v>0</v>
      </c>
      <c r="AF677" s="77"/>
      <c r="AG677" s="77">
        <v>0</v>
      </c>
      <c r="AH677" s="77"/>
      <c r="AI677" s="77">
        <f t="shared" si="30"/>
        <v>340985.56</v>
      </c>
      <c r="AJ677" s="24"/>
      <c r="AK677" s="15" t="str">
        <f>'Gen Rev'!A677</f>
        <v>Waynesfield</v>
      </c>
      <c r="AL677" s="15" t="str">
        <f t="shared" si="31"/>
        <v>Waynesfield</v>
      </c>
      <c r="AM677" s="15" t="b">
        <f t="shared" si="32"/>
        <v>1</v>
      </c>
      <c r="AN677" s="15"/>
      <c r="AO677" s="15"/>
      <c r="AP677" s="15"/>
    </row>
    <row r="678" spans="1:42" s="31" customFormat="1" ht="12" customHeight="1" x14ac:dyDescent="0.2">
      <c r="A678" s="24"/>
      <c r="B678" s="24"/>
      <c r="C678" s="24"/>
      <c r="D678" s="24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24"/>
      <c r="AK678" s="15"/>
      <c r="AL678" s="15"/>
      <c r="AM678" s="15"/>
      <c r="AN678" s="29"/>
      <c r="AO678" s="29"/>
      <c r="AP678" s="29"/>
    </row>
    <row r="679" spans="1:42" s="31" customFormat="1" ht="12" customHeight="1" x14ac:dyDescent="0.2">
      <c r="A679" s="24"/>
      <c r="B679" s="24"/>
      <c r="C679" s="24"/>
      <c r="D679" s="24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 t="s">
        <v>850</v>
      </c>
      <c r="AJ679" s="24"/>
      <c r="AK679" s="15"/>
      <c r="AL679" s="15"/>
      <c r="AM679" s="15"/>
      <c r="AN679" s="29"/>
      <c r="AO679" s="29"/>
      <c r="AP679" s="29"/>
    </row>
    <row r="680" spans="1:42" s="31" customFormat="1" ht="12" customHeight="1" x14ac:dyDescent="0.2">
      <c r="A680" s="24"/>
      <c r="B680" s="24"/>
      <c r="C680" s="24"/>
      <c r="D680" s="24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24"/>
      <c r="AK680" s="15"/>
      <c r="AL680" s="15"/>
      <c r="AM680" s="15"/>
      <c r="AN680" s="29"/>
      <c r="AO680" s="29"/>
      <c r="AP680" s="29"/>
    </row>
    <row r="681" spans="1:42" ht="12" customHeight="1" x14ac:dyDescent="0.2">
      <c r="A681" s="15" t="s">
        <v>583</v>
      </c>
      <c r="C681" s="15" t="s">
        <v>581</v>
      </c>
      <c r="E681" s="89">
        <v>476269</v>
      </c>
      <c r="F681" s="89"/>
      <c r="G681" s="89">
        <v>384947</v>
      </c>
      <c r="H681" s="89"/>
      <c r="I681" s="89">
        <v>358109</v>
      </c>
      <c r="J681" s="89"/>
      <c r="K681" s="89">
        <v>0</v>
      </c>
      <c r="L681" s="89"/>
      <c r="M681" s="89">
        <v>11634</v>
      </c>
      <c r="N681" s="89"/>
      <c r="O681" s="89">
        <f>56560+38522</f>
        <v>95082</v>
      </c>
      <c r="P681" s="89"/>
      <c r="Q681" s="89">
        <v>2693</v>
      </c>
      <c r="R681" s="89"/>
      <c r="S681" s="89">
        <v>113576</v>
      </c>
      <c r="T681" s="89"/>
      <c r="U681" s="89">
        <v>0</v>
      </c>
      <c r="V681" s="89"/>
      <c r="W681" s="89">
        <v>0</v>
      </c>
      <c r="X681" s="89"/>
      <c r="Y681" s="89">
        <v>0</v>
      </c>
      <c r="Z681" s="89"/>
      <c r="AA681" s="89">
        <v>0</v>
      </c>
      <c r="AB681" s="89"/>
      <c r="AC681" s="89">
        <v>0</v>
      </c>
      <c r="AD681" s="89"/>
      <c r="AE681" s="89">
        <v>0</v>
      </c>
      <c r="AF681" s="89"/>
      <c r="AG681" s="89">
        <v>0</v>
      </c>
      <c r="AH681" s="89"/>
      <c r="AI681" s="89">
        <f t="shared" si="30"/>
        <v>1442310</v>
      </c>
      <c r="AJ681" s="24"/>
      <c r="AK681" s="15" t="str">
        <f>'Gen Rev'!A681</f>
        <v>Waynesville</v>
      </c>
      <c r="AL681" s="15" t="str">
        <f t="shared" si="31"/>
        <v>Waynesville</v>
      </c>
      <c r="AM681" s="15" t="b">
        <f t="shared" si="32"/>
        <v>1</v>
      </c>
    </row>
    <row r="682" spans="1:42" s="29" customFormat="1" ht="12" customHeight="1" x14ac:dyDescent="0.2">
      <c r="A682" s="15" t="s">
        <v>453</v>
      </c>
      <c r="B682" s="15"/>
      <c r="C682" s="15" t="s">
        <v>451</v>
      </c>
      <c r="D682" s="15"/>
      <c r="E682" s="77">
        <v>623486</v>
      </c>
      <c r="F682" s="77"/>
      <c r="G682" s="77">
        <v>1544878</v>
      </c>
      <c r="H682" s="77"/>
      <c r="I682" s="77">
        <v>948935</v>
      </c>
      <c r="J682" s="77"/>
      <c r="K682" s="77">
        <v>68917</v>
      </c>
      <c r="L682" s="77"/>
      <c r="M682" s="77">
        <v>78426</v>
      </c>
      <c r="N682" s="77"/>
      <c r="O682" s="77">
        <v>42540</v>
      </c>
      <c r="P682" s="77"/>
      <c r="Q682" s="77">
        <v>75390</v>
      </c>
      <c r="R682" s="77"/>
      <c r="S682" s="77">
        <f>6879+90340</f>
        <v>97219</v>
      </c>
      <c r="T682" s="77"/>
      <c r="U682" s="77">
        <v>0</v>
      </c>
      <c r="V682" s="77"/>
      <c r="W682" s="77">
        <v>122932</v>
      </c>
      <c r="X682" s="77"/>
      <c r="Y682" s="77">
        <v>36556</v>
      </c>
      <c r="Z682" s="77"/>
      <c r="AA682" s="77">
        <v>0</v>
      </c>
      <c r="AB682" s="77"/>
      <c r="AC682" s="77">
        <v>0</v>
      </c>
      <c r="AD682" s="77"/>
      <c r="AE682" s="77">
        <v>0</v>
      </c>
      <c r="AF682" s="77"/>
      <c r="AG682" s="77">
        <v>0</v>
      </c>
      <c r="AH682" s="77"/>
      <c r="AI682" s="77">
        <f t="shared" si="30"/>
        <v>3639279</v>
      </c>
      <c r="AJ682" s="24"/>
      <c r="AK682" s="15" t="str">
        <f>'Gen Rev'!A682</f>
        <v>Wellington</v>
      </c>
      <c r="AL682" s="15" t="str">
        <f t="shared" si="31"/>
        <v>Wellington</v>
      </c>
      <c r="AM682" s="15" t="b">
        <f t="shared" si="32"/>
        <v>1</v>
      </c>
      <c r="AN682" s="31"/>
      <c r="AO682" s="31"/>
      <c r="AP682" s="31"/>
    </row>
    <row r="683" spans="1:42" s="31" customFormat="1" ht="12" customHeight="1" x14ac:dyDescent="0.2">
      <c r="A683" s="1" t="s">
        <v>306</v>
      </c>
      <c r="B683" s="1"/>
      <c r="C683" s="1" t="s">
        <v>305</v>
      </c>
      <c r="D683" s="15"/>
      <c r="E683" s="77">
        <v>390251.67</v>
      </c>
      <c r="F683" s="77"/>
      <c r="G683" s="77">
        <v>363726.01</v>
      </c>
      <c r="H683" s="77"/>
      <c r="I683" s="77">
        <v>378085.95</v>
      </c>
      <c r="J683" s="77"/>
      <c r="K683" s="77">
        <v>0</v>
      </c>
      <c r="L683" s="77"/>
      <c r="M683" s="77">
        <v>48125.5</v>
      </c>
      <c r="N683" s="77"/>
      <c r="O683" s="77">
        <v>96737.7</v>
      </c>
      <c r="P683" s="77"/>
      <c r="Q683" s="77">
        <v>933.74</v>
      </c>
      <c r="R683" s="77"/>
      <c r="S683" s="77">
        <v>1474361.75</v>
      </c>
      <c r="T683" s="77"/>
      <c r="U683" s="77">
        <v>0</v>
      </c>
      <c r="V683" s="77"/>
      <c r="W683" s="77">
        <v>0</v>
      </c>
      <c r="X683" s="77"/>
      <c r="Y683" s="77">
        <v>0</v>
      </c>
      <c r="Z683" s="77"/>
      <c r="AA683" s="77">
        <v>108993</v>
      </c>
      <c r="AB683" s="77"/>
      <c r="AC683" s="77">
        <v>0</v>
      </c>
      <c r="AD683" s="77"/>
      <c r="AE683" s="77">
        <v>0</v>
      </c>
      <c r="AF683" s="77"/>
      <c r="AG683" s="77">
        <v>0</v>
      </c>
      <c r="AH683" s="77"/>
      <c r="AI683" s="77">
        <f t="shared" si="30"/>
        <v>2861215.32</v>
      </c>
      <c r="AJ683" s="24"/>
      <c r="AK683" s="15" t="str">
        <f>'Gen Rev'!A683</f>
        <v>Wellsville</v>
      </c>
      <c r="AL683" s="15" t="str">
        <f t="shared" si="31"/>
        <v>Wellsville</v>
      </c>
      <c r="AM683" s="15" t="b">
        <f t="shared" si="32"/>
        <v>1</v>
      </c>
    </row>
    <row r="684" spans="1:42" s="31" customFormat="1" ht="12" customHeight="1" x14ac:dyDescent="0.2">
      <c r="A684" s="15" t="s">
        <v>512</v>
      </c>
      <c r="B684" s="15"/>
      <c r="C684" s="15" t="s">
        <v>509</v>
      </c>
      <c r="D684" s="15"/>
      <c r="E684" s="77">
        <v>107836</v>
      </c>
      <c r="F684" s="77"/>
      <c r="G684" s="77">
        <v>284805</v>
      </c>
      <c r="H684" s="77"/>
      <c r="I684" s="77">
        <v>146025</v>
      </c>
      <c r="J684" s="77"/>
      <c r="K684" s="77">
        <v>25917</v>
      </c>
      <c r="L684" s="77"/>
      <c r="M684" s="77">
        <v>389366</v>
      </c>
      <c r="N684" s="77"/>
      <c r="O684" s="77">
        <v>3981</v>
      </c>
      <c r="P684" s="77"/>
      <c r="Q684" s="77">
        <v>3051</v>
      </c>
      <c r="R684" s="77"/>
      <c r="S684" s="77">
        <v>18116</v>
      </c>
      <c r="T684" s="77"/>
      <c r="U684" s="77">
        <v>0</v>
      </c>
      <c r="V684" s="77"/>
      <c r="W684" s="77">
        <v>0</v>
      </c>
      <c r="X684" s="77"/>
      <c r="Y684" s="77">
        <v>0</v>
      </c>
      <c r="Z684" s="77"/>
      <c r="AA684" s="77">
        <v>0</v>
      </c>
      <c r="AB684" s="77"/>
      <c r="AC684" s="77">
        <v>0</v>
      </c>
      <c r="AD684" s="77"/>
      <c r="AE684" s="77">
        <v>205000</v>
      </c>
      <c r="AF684" s="77"/>
      <c r="AG684" s="77">
        <v>0</v>
      </c>
      <c r="AH684" s="77"/>
      <c r="AI684" s="77">
        <f t="shared" si="30"/>
        <v>1184097</v>
      </c>
      <c r="AJ684" s="24"/>
      <c r="AK684" s="15" t="str">
        <f>'Gen Rev'!A684</f>
        <v>West Alexandria</v>
      </c>
      <c r="AL684" s="15" t="str">
        <f t="shared" si="31"/>
        <v>West Alexandria</v>
      </c>
      <c r="AM684" s="15" t="b">
        <f t="shared" si="32"/>
        <v>1</v>
      </c>
      <c r="AN684" s="15"/>
      <c r="AO684" s="15"/>
      <c r="AP684" s="15"/>
    </row>
    <row r="685" spans="1:42" ht="12" customHeight="1" x14ac:dyDescent="0.2">
      <c r="A685" s="1" t="s">
        <v>937</v>
      </c>
      <c r="B685" s="1"/>
      <c r="C685" s="1" t="s">
        <v>509</v>
      </c>
      <c r="E685" s="77">
        <v>5264.58</v>
      </c>
      <c r="F685" s="77"/>
      <c r="G685" s="77">
        <v>19724.18</v>
      </c>
      <c r="H685" s="77"/>
      <c r="I685" s="77">
        <v>29688.93</v>
      </c>
      <c r="J685" s="77"/>
      <c r="K685" s="77">
        <v>228640.1</v>
      </c>
      <c r="L685" s="77"/>
      <c r="M685" s="77">
        <v>800</v>
      </c>
      <c r="N685" s="77"/>
      <c r="O685" s="77">
        <v>75</v>
      </c>
      <c r="P685" s="77"/>
      <c r="Q685" s="77">
        <v>58.1</v>
      </c>
      <c r="R685" s="77"/>
      <c r="S685" s="77">
        <v>10361.98</v>
      </c>
      <c r="T685" s="77"/>
      <c r="U685" s="77">
        <v>0</v>
      </c>
      <c r="V685" s="77"/>
      <c r="W685" s="77">
        <v>0</v>
      </c>
      <c r="X685" s="77"/>
      <c r="Y685" s="77">
        <v>0</v>
      </c>
      <c r="Z685" s="77"/>
      <c r="AA685" s="77">
        <v>0</v>
      </c>
      <c r="AB685" s="77"/>
      <c r="AC685" s="77">
        <v>0</v>
      </c>
      <c r="AD685" s="77"/>
      <c r="AE685" s="77">
        <v>0</v>
      </c>
      <c r="AF685" s="77"/>
      <c r="AG685" s="77">
        <v>0</v>
      </c>
      <c r="AH685" s="77"/>
      <c r="AI685" s="77">
        <f t="shared" si="30"/>
        <v>294612.87</v>
      </c>
      <c r="AJ685" s="24"/>
      <c r="AK685" s="15" t="str">
        <f>'Gen Rev'!A685</f>
        <v>West Elkton</v>
      </c>
      <c r="AL685" s="15" t="str">
        <f t="shared" si="31"/>
        <v>West Elkton</v>
      </c>
      <c r="AM685" s="15" t="b">
        <f t="shared" si="32"/>
        <v>1</v>
      </c>
    </row>
    <row r="686" spans="1:42" s="31" customFormat="1" ht="12" customHeight="1" x14ac:dyDescent="0.2">
      <c r="A686" s="1" t="s">
        <v>230</v>
      </c>
      <c r="B686" s="1"/>
      <c r="C686" s="1" t="s">
        <v>805</v>
      </c>
      <c r="D686" s="15"/>
      <c r="E686" s="77">
        <v>39349.5</v>
      </c>
      <c r="F686" s="77"/>
      <c r="G686" s="77">
        <v>4895.6400000000003</v>
      </c>
      <c r="H686" s="77"/>
      <c r="I686" s="77">
        <v>34689.65</v>
      </c>
      <c r="J686" s="77"/>
      <c r="K686" s="77">
        <v>3447.78</v>
      </c>
      <c r="L686" s="77"/>
      <c r="M686" s="77">
        <v>0</v>
      </c>
      <c r="N686" s="77"/>
      <c r="O686" s="77">
        <v>35016.89</v>
      </c>
      <c r="P686" s="77"/>
      <c r="Q686" s="77">
        <v>49.41</v>
      </c>
      <c r="R686" s="77"/>
      <c r="S686" s="77">
        <v>898.3</v>
      </c>
      <c r="T686" s="77"/>
      <c r="U686" s="77">
        <v>0</v>
      </c>
      <c r="V686" s="77"/>
      <c r="W686" s="77">
        <v>0</v>
      </c>
      <c r="X686" s="77"/>
      <c r="Y686" s="77">
        <v>0</v>
      </c>
      <c r="Z686" s="77"/>
      <c r="AA686" s="77">
        <v>32156.55</v>
      </c>
      <c r="AB686" s="77"/>
      <c r="AC686" s="77">
        <v>8100</v>
      </c>
      <c r="AD686" s="77"/>
      <c r="AE686" s="77">
        <v>0</v>
      </c>
      <c r="AF686" s="77"/>
      <c r="AG686" s="77">
        <v>0</v>
      </c>
      <c r="AH686" s="77"/>
      <c r="AI686" s="77">
        <f t="shared" si="30"/>
        <v>158603.72</v>
      </c>
      <c r="AJ686" s="24"/>
      <c r="AK686" s="15" t="str">
        <f>'Gen Rev'!A686</f>
        <v>West Farmington</v>
      </c>
      <c r="AL686" s="15" t="str">
        <f t="shared" si="31"/>
        <v>West Farmington</v>
      </c>
      <c r="AM686" s="15" t="b">
        <f t="shared" si="32"/>
        <v>1</v>
      </c>
    </row>
    <row r="687" spans="1:42" s="31" customFormat="1" ht="12" customHeight="1" x14ac:dyDescent="0.2">
      <c r="A687" s="1" t="s">
        <v>938</v>
      </c>
      <c r="B687" s="1"/>
      <c r="C687" s="1" t="s">
        <v>432</v>
      </c>
      <c r="D687" s="15"/>
      <c r="E687" s="77">
        <v>67307.7</v>
      </c>
      <c r="F687" s="77"/>
      <c r="G687" s="77">
        <v>2434539.44</v>
      </c>
      <c r="H687" s="77"/>
      <c r="I687" s="77">
        <v>616071.9</v>
      </c>
      <c r="J687" s="77"/>
      <c r="K687" s="77">
        <v>353264.48</v>
      </c>
      <c r="L687" s="77"/>
      <c r="M687" s="77">
        <v>318747.09999999998</v>
      </c>
      <c r="N687" s="77"/>
      <c r="O687" s="77">
        <v>76188.960000000006</v>
      </c>
      <c r="P687" s="77"/>
      <c r="Q687" s="77">
        <v>0</v>
      </c>
      <c r="R687" s="77"/>
      <c r="S687" s="77">
        <v>103471.41</v>
      </c>
      <c r="T687" s="77"/>
      <c r="U687" s="77">
        <v>0</v>
      </c>
      <c r="V687" s="77"/>
      <c r="W687" s="77">
        <v>0</v>
      </c>
      <c r="X687" s="77"/>
      <c r="Y687" s="77">
        <v>12097.8</v>
      </c>
      <c r="Z687" s="77"/>
      <c r="AA687" s="77">
        <v>18757</v>
      </c>
      <c r="AB687" s="77"/>
      <c r="AC687" s="77">
        <v>0</v>
      </c>
      <c r="AD687" s="77"/>
      <c r="AE687" s="77">
        <v>0</v>
      </c>
      <c r="AF687" s="77"/>
      <c r="AG687" s="77">
        <v>0</v>
      </c>
      <c r="AH687" s="77"/>
      <c r="AI687" s="77">
        <f t="shared" si="30"/>
        <v>4000445.79</v>
      </c>
      <c r="AJ687" s="24"/>
      <c r="AK687" s="15" t="str">
        <f>'Gen Rev'!A687</f>
        <v>West Jefferson</v>
      </c>
      <c r="AL687" s="15" t="str">
        <f t="shared" si="31"/>
        <v>West Jefferson</v>
      </c>
      <c r="AM687" s="15" t="b">
        <f t="shared" si="32"/>
        <v>1</v>
      </c>
      <c r="AN687" s="32"/>
      <c r="AO687" s="32"/>
      <c r="AP687" s="32"/>
    </row>
    <row r="688" spans="1:42" ht="12" customHeight="1" x14ac:dyDescent="0.2">
      <c r="A688" s="15" t="s">
        <v>310</v>
      </c>
      <c r="C688" s="15" t="s">
        <v>308</v>
      </c>
      <c r="E688" s="77">
        <v>106779</v>
      </c>
      <c r="F688" s="77"/>
      <c r="G688" s="77">
        <v>343148</v>
      </c>
      <c r="H688" s="77"/>
      <c r="I688" s="77">
        <v>166756</v>
      </c>
      <c r="J688" s="77"/>
      <c r="K688" s="77">
        <v>0</v>
      </c>
      <c r="L688" s="77"/>
      <c r="M688" s="77">
        <v>90046</v>
      </c>
      <c r="N688" s="77"/>
      <c r="O688" s="77">
        <v>5415</v>
      </c>
      <c r="P688" s="77"/>
      <c r="Q688" s="77">
        <v>2222</v>
      </c>
      <c r="R688" s="77"/>
      <c r="S688" s="77">
        <v>7752</v>
      </c>
      <c r="T688" s="77"/>
      <c r="U688" s="77">
        <v>0</v>
      </c>
      <c r="V688" s="77"/>
      <c r="W688" s="77">
        <v>0</v>
      </c>
      <c r="X688" s="77"/>
      <c r="Y688" s="77">
        <v>2600</v>
      </c>
      <c r="Z688" s="77"/>
      <c r="AA688" s="77">
        <v>83272</v>
      </c>
      <c r="AB688" s="77"/>
      <c r="AC688" s="77">
        <v>35000</v>
      </c>
      <c r="AD688" s="77"/>
      <c r="AE688" s="77">
        <v>9751</v>
      </c>
      <c r="AF688" s="77"/>
      <c r="AG688" s="77">
        <v>0</v>
      </c>
      <c r="AH688" s="77"/>
      <c r="AI688" s="77">
        <f t="shared" si="30"/>
        <v>852741</v>
      </c>
      <c r="AJ688" s="24"/>
      <c r="AK688" s="15" t="str">
        <f>'Gen Rev'!A688</f>
        <v>West Lafayette</v>
      </c>
      <c r="AL688" s="15" t="str">
        <f t="shared" si="31"/>
        <v>West Lafayette</v>
      </c>
      <c r="AM688" s="15" t="b">
        <f t="shared" si="32"/>
        <v>1</v>
      </c>
      <c r="AN688" s="32"/>
      <c r="AO688" s="32"/>
      <c r="AP688" s="32"/>
    </row>
    <row r="689" spans="1:42" ht="12" customHeight="1" x14ac:dyDescent="0.2">
      <c r="A689" s="15" t="s">
        <v>899</v>
      </c>
      <c r="C689" s="15" t="s">
        <v>513</v>
      </c>
      <c r="E689" s="77">
        <v>5369.51</v>
      </c>
      <c r="F689" s="77"/>
      <c r="G689" s="77">
        <v>0</v>
      </c>
      <c r="H689" s="77"/>
      <c r="I689" s="77">
        <v>39418.370000000003</v>
      </c>
      <c r="J689" s="77"/>
      <c r="K689" s="77">
        <v>0</v>
      </c>
      <c r="L689" s="77"/>
      <c r="M689" s="77">
        <v>0</v>
      </c>
      <c r="N689" s="77"/>
      <c r="O689" s="77">
        <v>0</v>
      </c>
      <c r="P689" s="77"/>
      <c r="Q689" s="77">
        <v>64.319999999999993</v>
      </c>
      <c r="R689" s="77"/>
      <c r="S689" s="77">
        <v>28755.45</v>
      </c>
      <c r="T689" s="77"/>
      <c r="U689" s="77">
        <v>0</v>
      </c>
      <c r="V689" s="77"/>
      <c r="W689" s="77">
        <v>0</v>
      </c>
      <c r="X689" s="77"/>
      <c r="Y689" s="77">
        <v>0</v>
      </c>
      <c r="Z689" s="77"/>
      <c r="AA689" s="77">
        <v>1500</v>
      </c>
      <c r="AB689" s="77"/>
      <c r="AC689" s="77">
        <v>0</v>
      </c>
      <c r="AD689" s="77"/>
      <c r="AE689" s="77">
        <v>0</v>
      </c>
      <c r="AF689" s="77"/>
      <c r="AG689" s="77">
        <v>0</v>
      </c>
      <c r="AH689" s="77"/>
      <c r="AI689" s="77">
        <f t="shared" si="30"/>
        <v>75107.650000000009</v>
      </c>
      <c r="AJ689" s="24"/>
      <c r="AK689" s="15" t="str">
        <f>'Gen Rev'!A689</f>
        <v>West Leipsic</v>
      </c>
      <c r="AL689" s="15" t="str">
        <f t="shared" si="31"/>
        <v>West Leipsic</v>
      </c>
      <c r="AM689" s="15" t="b">
        <f t="shared" si="32"/>
        <v>1</v>
      </c>
      <c r="AN689" s="31"/>
      <c r="AO689" s="31"/>
      <c r="AP689" s="31"/>
    </row>
    <row r="690" spans="1:42" ht="12" customHeight="1" x14ac:dyDescent="0.2">
      <c r="A690" s="1" t="s">
        <v>135</v>
      </c>
      <c r="B690" s="1"/>
      <c r="C690" s="1" t="s">
        <v>775</v>
      </c>
      <c r="D690" s="37"/>
      <c r="E690" s="77">
        <v>253807.52</v>
      </c>
      <c r="F690" s="77"/>
      <c r="G690" s="77">
        <v>0</v>
      </c>
      <c r="H690" s="77"/>
      <c r="I690" s="77">
        <v>155705.92000000001</v>
      </c>
      <c r="J690" s="77"/>
      <c r="K690" s="77">
        <v>0</v>
      </c>
      <c r="L690" s="77"/>
      <c r="M690" s="77">
        <v>123325.93</v>
      </c>
      <c r="N690" s="77"/>
      <c r="O690" s="77">
        <v>3440</v>
      </c>
      <c r="P690" s="77"/>
      <c r="Q690" s="77">
        <v>4917.57</v>
      </c>
      <c r="R690" s="77"/>
      <c r="S690" s="77">
        <v>55678.12</v>
      </c>
      <c r="T690" s="77"/>
      <c r="U690" s="77">
        <v>0</v>
      </c>
      <c r="V690" s="77"/>
      <c r="W690" s="77">
        <v>0</v>
      </c>
      <c r="X690" s="77"/>
      <c r="Y690" s="77">
        <v>0</v>
      </c>
      <c r="Z690" s="77"/>
      <c r="AA690" s="77">
        <v>36579.57</v>
      </c>
      <c r="AB690" s="77"/>
      <c r="AC690" s="77">
        <v>6140.68</v>
      </c>
      <c r="AD690" s="77"/>
      <c r="AE690" s="77">
        <v>0</v>
      </c>
      <c r="AF690" s="77"/>
      <c r="AG690" s="77">
        <v>0</v>
      </c>
      <c r="AH690" s="77"/>
      <c r="AI690" s="77">
        <f t="shared" si="30"/>
        <v>639595.30999999994</v>
      </c>
      <c r="AJ690" s="37"/>
      <c r="AK690" s="15" t="str">
        <f>'Gen Rev'!A690</f>
        <v>West Liberty</v>
      </c>
      <c r="AL690" s="15" t="str">
        <f t="shared" si="31"/>
        <v>West Liberty</v>
      </c>
      <c r="AM690" s="15" t="b">
        <f t="shared" si="32"/>
        <v>1</v>
      </c>
      <c r="AN690" s="67"/>
      <c r="AO690" s="67"/>
      <c r="AP690" s="67"/>
    </row>
    <row r="691" spans="1:42" s="31" customFormat="1" ht="12" customHeight="1" x14ac:dyDescent="0.2">
      <c r="A691" s="37" t="s">
        <v>900</v>
      </c>
      <c r="B691" s="37"/>
      <c r="C691" s="37" t="s">
        <v>509</v>
      </c>
      <c r="D691" s="37"/>
      <c r="E691" s="77">
        <v>40152</v>
      </c>
      <c r="F691" s="77"/>
      <c r="G691" s="77">
        <v>0</v>
      </c>
      <c r="H691" s="77"/>
      <c r="I691" s="77">
        <v>20718</v>
      </c>
      <c r="J691" s="77"/>
      <c r="K691" s="77">
        <v>0</v>
      </c>
      <c r="L691" s="77"/>
      <c r="M691" s="77">
        <v>313122</v>
      </c>
      <c r="N691" s="77"/>
      <c r="O691" s="77">
        <f>1211+2242</f>
        <v>3453</v>
      </c>
      <c r="P691" s="77"/>
      <c r="Q691" s="77">
        <v>1786</v>
      </c>
      <c r="R691" s="77"/>
      <c r="S691" s="77">
        <v>7242</v>
      </c>
      <c r="T691" s="77"/>
      <c r="U691" s="77">
        <v>0</v>
      </c>
      <c r="V691" s="77"/>
      <c r="W691" s="77">
        <v>0</v>
      </c>
      <c r="X691" s="77"/>
      <c r="Y691" s="77">
        <v>0</v>
      </c>
      <c r="Z691" s="77"/>
      <c r="AA691" s="77">
        <v>88307</v>
      </c>
      <c r="AB691" s="77"/>
      <c r="AC691" s="77">
        <v>0</v>
      </c>
      <c r="AD691" s="77"/>
      <c r="AE691" s="77">
        <v>0</v>
      </c>
      <c r="AF691" s="77"/>
      <c r="AG691" s="77">
        <v>0</v>
      </c>
      <c r="AH691" s="77"/>
      <c r="AI691" s="77">
        <f t="shared" si="30"/>
        <v>474780</v>
      </c>
      <c r="AJ691" s="37"/>
      <c r="AK691" s="15" t="str">
        <f>'Gen Rev'!A691</f>
        <v>West Manchester</v>
      </c>
      <c r="AL691" s="15" t="str">
        <f t="shared" si="31"/>
        <v>West Manchester</v>
      </c>
      <c r="AM691" s="15" t="b">
        <f t="shared" si="32"/>
        <v>1</v>
      </c>
      <c r="AN691" s="37"/>
      <c r="AO691" s="37"/>
      <c r="AP691" s="37"/>
    </row>
    <row r="692" spans="1:42" s="31" customFormat="1" ht="12" customHeight="1" x14ac:dyDescent="0.2">
      <c r="A692" s="1" t="s">
        <v>939</v>
      </c>
      <c r="B692" s="1"/>
      <c r="C692" s="1" t="s">
        <v>446</v>
      </c>
      <c r="D692" s="15"/>
      <c r="E692" s="77">
        <v>118572.17</v>
      </c>
      <c r="F692" s="77"/>
      <c r="G692" s="77">
        <v>0</v>
      </c>
      <c r="H692" s="77"/>
      <c r="I692" s="77">
        <v>86737.49</v>
      </c>
      <c r="J692" s="77"/>
      <c r="K692" s="77">
        <v>0</v>
      </c>
      <c r="L692" s="77"/>
      <c r="M692" s="77">
        <v>0</v>
      </c>
      <c r="N692" s="77"/>
      <c r="O692" s="77">
        <v>4732.37</v>
      </c>
      <c r="P692" s="77"/>
      <c r="Q692" s="77">
        <v>1467.27</v>
      </c>
      <c r="R692" s="77"/>
      <c r="S692" s="77">
        <v>807.75</v>
      </c>
      <c r="T692" s="77"/>
      <c r="U692" s="77">
        <v>0</v>
      </c>
      <c r="V692" s="77"/>
      <c r="W692" s="77">
        <v>0</v>
      </c>
      <c r="X692" s="77"/>
      <c r="Y692" s="77">
        <v>0</v>
      </c>
      <c r="Z692" s="77"/>
      <c r="AA692" s="77">
        <v>47900</v>
      </c>
      <c r="AB692" s="77"/>
      <c r="AC692" s="77">
        <v>0</v>
      </c>
      <c r="AD692" s="77"/>
      <c r="AE692" s="77">
        <v>0</v>
      </c>
      <c r="AF692" s="77"/>
      <c r="AG692" s="77">
        <v>0</v>
      </c>
      <c r="AH692" s="77"/>
      <c r="AI692" s="77">
        <f t="shared" si="30"/>
        <v>260217.05</v>
      </c>
      <c r="AJ692" s="24"/>
      <c r="AK692" s="15" t="str">
        <f>'Gen Rev'!A692</f>
        <v>West Mansfield</v>
      </c>
      <c r="AL692" s="15" t="str">
        <f t="shared" si="31"/>
        <v>West Mansfield</v>
      </c>
      <c r="AM692" s="15" t="b">
        <f t="shared" si="32"/>
        <v>1</v>
      </c>
      <c r="AN692" s="15"/>
      <c r="AO692" s="15"/>
      <c r="AP692" s="15"/>
    </row>
    <row r="693" spans="1:42" ht="12" customHeight="1" x14ac:dyDescent="0.2">
      <c r="A693" s="1" t="s">
        <v>262</v>
      </c>
      <c r="B693" s="1"/>
      <c r="C693" s="1" t="s">
        <v>813</v>
      </c>
      <c r="E693" s="77">
        <v>10196.6</v>
      </c>
      <c r="F693" s="77"/>
      <c r="G693" s="77">
        <v>0</v>
      </c>
      <c r="H693" s="77"/>
      <c r="I693" s="77">
        <v>15979.11</v>
      </c>
      <c r="J693" s="77"/>
      <c r="K693" s="77">
        <v>4531.13</v>
      </c>
      <c r="L693" s="77"/>
      <c r="M693" s="77">
        <v>530</v>
      </c>
      <c r="N693" s="77"/>
      <c r="O693" s="77">
        <v>15431.36</v>
      </c>
      <c r="P693" s="77"/>
      <c r="Q693" s="77">
        <v>69.42</v>
      </c>
      <c r="R693" s="77"/>
      <c r="S693" s="77">
        <v>1191</v>
      </c>
      <c r="T693" s="77"/>
      <c r="U693" s="77">
        <v>0</v>
      </c>
      <c r="V693" s="77"/>
      <c r="W693" s="77">
        <v>0</v>
      </c>
      <c r="X693" s="77"/>
      <c r="Y693" s="77">
        <v>0</v>
      </c>
      <c r="Z693" s="77"/>
      <c r="AA693" s="77">
        <v>0</v>
      </c>
      <c r="AB693" s="77"/>
      <c r="AC693" s="77">
        <v>0</v>
      </c>
      <c r="AD693" s="77"/>
      <c r="AE693" s="77">
        <v>0</v>
      </c>
      <c r="AF693" s="77"/>
      <c r="AG693" s="77">
        <v>0</v>
      </c>
      <c r="AH693" s="77"/>
      <c r="AI693" s="77">
        <f t="shared" si="30"/>
        <v>47928.619999999995</v>
      </c>
      <c r="AJ693" s="24"/>
      <c r="AK693" s="15" t="str">
        <f>'Gen Rev'!A693</f>
        <v>West Millgrove</v>
      </c>
      <c r="AL693" s="15" t="str">
        <f t="shared" si="31"/>
        <v>West Millgrove</v>
      </c>
      <c r="AM693" s="15" t="b">
        <f t="shared" si="32"/>
        <v>1</v>
      </c>
      <c r="AN693" s="31"/>
      <c r="AO693" s="31"/>
      <c r="AP693" s="31"/>
    </row>
    <row r="694" spans="1:42" ht="12" customHeight="1" x14ac:dyDescent="0.2">
      <c r="A694" s="15" t="s">
        <v>472</v>
      </c>
      <c r="C694" s="15" t="s">
        <v>470</v>
      </c>
      <c r="E694" s="77">
        <v>275886</v>
      </c>
      <c r="F694" s="77"/>
      <c r="G694" s="77">
        <v>851753</v>
      </c>
      <c r="H694" s="77"/>
      <c r="I694" s="77">
        <v>399343</v>
      </c>
      <c r="J694" s="77"/>
      <c r="K694" s="77">
        <v>1878</v>
      </c>
      <c r="L694" s="77"/>
      <c r="M694" s="77">
        <v>960</v>
      </c>
      <c r="N694" s="77"/>
      <c r="O694" s="77">
        <v>78571</v>
      </c>
      <c r="P694" s="77"/>
      <c r="Q694" s="77">
        <v>5828</v>
      </c>
      <c r="R694" s="77"/>
      <c r="S694" s="77">
        <v>9244</v>
      </c>
      <c r="T694" s="77"/>
      <c r="U694" s="77">
        <v>0</v>
      </c>
      <c r="V694" s="77"/>
      <c r="W694" s="77">
        <v>0</v>
      </c>
      <c r="X694" s="77"/>
      <c r="Y694" s="77">
        <v>0</v>
      </c>
      <c r="Z694" s="77"/>
      <c r="AA694" s="77">
        <v>320132</v>
      </c>
      <c r="AB694" s="77"/>
      <c r="AC694" s="77">
        <v>0</v>
      </c>
      <c r="AD694" s="77"/>
      <c r="AE694" s="77">
        <v>1268</v>
      </c>
      <c r="AF694" s="77"/>
      <c r="AG694" s="77">
        <v>0</v>
      </c>
      <c r="AH694" s="77"/>
      <c r="AI694" s="77">
        <f t="shared" si="30"/>
        <v>1944863</v>
      </c>
      <c r="AJ694" s="24"/>
      <c r="AK694" s="15" t="str">
        <f>'Gen Rev'!A694</f>
        <v>West Milton</v>
      </c>
      <c r="AL694" s="15" t="str">
        <f t="shared" si="31"/>
        <v>West Milton</v>
      </c>
      <c r="AM694" s="15" t="b">
        <f t="shared" si="32"/>
        <v>1</v>
      </c>
      <c r="AN694" s="31"/>
      <c r="AO694" s="31"/>
      <c r="AP694" s="31"/>
    </row>
    <row r="695" spans="1:42" ht="12" hidden="1" customHeight="1" x14ac:dyDescent="0.2">
      <c r="A695" s="1" t="s">
        <v>351</v>
      </c>
      <c r="B695" s="1"/>
      <c r="C695" s="1" t="s">
        <v>350</v>
      </c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>
        <f t="shared" si="30"/>
        <v>0</v>
      </c>
      <c r="AJ695" s="24"/>
      <c r="AK695" s="15" t="str">
        <f>'Gen Rev'!A695</f>
        <v>West Rushville</v>
      </c>
      <c r="AL695" s="15" t="str">
        <f t="shared" si="31"/>
        <v>West Rushville</v>
      </c>
      <c r="AM695" s="15" t="b">
        <f t="shared" si="32"/>
        <v>1</v>
      </c>
    </row>
    <row r="696" spans="1:42" ht="12" customHeight="1" x14ac:dyDescent="0.2">
      <c r="A696" s="1" t="s">
        <v>250</v>
      </c>
      <c r="B696" s="1"/>
      <c r="C696" s="1" t="s">
        <v>811</v>
      </c>
      <c r="E696" s="77">
        <v>60893.46</v>
      </c>
      <c r="F696" s="77"/>
      <c r="G696" s="77">
        <v>227571.61</v>
      </c>
      <c r="H696" s="77"/>
      <c r="I696" s="77">
        <v>129105.36</v>
      </c>
      <c r="J696" s="77"/>
      <c r="K696" s="77">
        <v>3655.76</v>
      </c>
      <c r="L696" s="77"/>
      <c r="M696" s="77">
        <v>56267</v>
      </c>
      <c r="N696" s="77"/>
      <c r="O696" s="77">
        <v>12497.6</v>
      </c>
      <c r="P696" s="77"/>
      <c r="Q696" s="77">
        <v>1504.9</v>
      </c>
      <c r="R696" s="77"/>
      <c r="S696" s="77">
        <v>9747.0300000000007</v>
      </c>
      <c r="T696" s="77"/>
      <c r="U696" s="77">
        <v>55932.95</v>
      </c>
      <c r="V696" s="77"/>
      <c r="W696" s="77">
        <v>415008</v>
      </c>
      <c r="X696" s="77"/>
      <c r="Y696" s="77">
        <v>0</v>
      </c>
      <c r="Z696" s="77"/>
      <c r="AA696" s="77">
        <v>110180</v>
      </c>
      <c r="AB696" s="77"/>
      <c r="AC696" s="77">
        <v>0</v>
      </c>
      <c r="AD696" s="77"/>
      <c r="AE696" s="77">
        <v>0</v>
      </c>
      <c r="AF696" s="77"/>
      <c r="AG696" s="77">
        <v>0</v>
      </c>
      <c r="AH696" s="77"/>
      <c r="AI696" s="77">
        <f t="shared" si="30"/>
        <v>1082363.67</v>
      </c>
      <c r="AJ696" s="24"/>
      <c r="AK696" s="15" t="str">
        <f>'Gen Rev'!A696</f>
        <v>West Salem</v>
      </c>
      <c r="AL696" s="15" t="str">
        <f t="shared" si="31"/>
        <v>West Salem</v>
      </c>
      <c r="AM696" s="15" t="b">
        <f t="shared" si="32"/>
        <v>1</v>
      </c>
    </row>
    <row r="697" spans="1:42" s="31" customFormat="1" ht="12" customHeight="1" x14ac:dyDescent="0.2">
      <c r="A697" s="1" t="s">
        <v>0</v>
      </c>
      <c r="B697" s="1"/>
      <c r="C697" s="1" t="s">
        <v>661</v>
      </c>
      <c r="D697" s="15"/>
      <c r="E697" s="77">
        <v>125164.94</v>
      </c>
      <c r="F697" s="77"/>
      <c r="G697" s="77">
        <v>594573.37</v>
      </c>
      <c r="H697" s="77"/>
      <c r="I697" s="77">
        <v>405522.39</v>
      </c>
      <c r="J697" s="77"/>
      <c r="K697" s="77">
        <v>0</v>
      </c>
      <c r="L697" s="77"/>
      <c r="M697" s="77">
        <v>109557.74</v>
      </c>
      <c r="N697" s="77"/>
      <c r="O697" s="77">
        <v>140545.67000000001</v>
      </c>
      <c r="P697" s="77"/>
      <c r="Q697" s="77">
        <v>3357.05</v>
      </c>
      <c r="R697" s="77"/>
      <c r="S697" s="77">
        <v>20488.82</v>
      </c>
      <c r="T697" s="77"/>
      <c r="U697" s="77">
        <v>0</v>
      </c>
      <c r="V697" s="77"/>
      <c r="W697" s="77">
        <v>0</v>
      </c>
      <c r="X697" s="77"/>
      <c r="Y697" s="77">
        <v>99569.2</v>
      </c>
      <c r="Z697" s="77"/>
      <c r="AA697" s="77">
        <v>0</v>
      </c>
      <c r="AB697" s="77"/>
      <c r="AC697" s="77">
        <v>0</v>
      </c>
      <c r="AD697" s="77"/>
      <c r="AE697" s="77">
        <v>9821</v>
      </c>
      <c r="AF697" s="77"/>
      <c r="AG697" s="77">
        <v>0</v>
      </c>
      <c r="AH697" s="77"/>
      <c r="AI697" s="77">
        <f t="shared" si="30"/>
        <v>1508600.1800000002</v>
      </c>
      <c r="AJ697" s="24"/>
      <c r="AK697" s="15" t="str">
        <f>'Gen Rev'!A697</f>
        <v>West Union</v>
      </c>
      <c r="AL697" s="15" t="str">
        <f t="shared" si="31"/>
        <v>West Union</v>
      </c>
      <c r="AM697" s="15" t="b">
        <f t="shared" si="32"/>
        <v>1</v>
      </c>
      <c r="AN697" s="15"/>
      <c r="AO697" s="15"/>
      <c r="AP697" s="15"/>
    </row>
    <row r="698" spans="1:42" ht="12" customHeight="1" x14ac:dyDescent="0.2">
      <c r="A698" s="1" t="s">
        <v>599</v>
      </c>
      <c r="B698" s="1"/>
      <c r="C698" s="1" t="s">
        <v>596</v>
      </c>
      <c r="E698" s="77">
        <v>152204.04999999999</v>
      </c>
      <c r="F698" s="77"/>
      <c r="G698" s="77">
        <v>670012.28</v>
      </c>
      <c r="H698" s="77"/>
      <c r="I698" s="77">
        <v>397295.58</v>
      </c>
      <c r="J698" s="77"/>
      <c r="K698" s="77">
        <v>672.5</v>
      </c>
      <c r="L698" s="77"/>
      <c r="M698" s="77">
        <v>920</v>
      </c>
      <c r="N698" s="77"/>
      <c r="O698" s="77">
        <v>29296.75</v>
      </c>
      <c r="P698" s="77"/>
      <c r="Q698" s="77">
        <v>5824.56</v>
      </c>
      <c r="R698" s="77"/>
      <c r="S698" s="77">
        <v>10691.63</v>
      </c>
      <c r="T698" s="77"/>
      <c r="U698" s="77">
        <v>0</v>
      </c>
      <c r="V698" s="77"/>
      <c r="W698" s="77">
        <v>0</v>
      </c>
      <c r="X698" s="77"/>
      <c r="Y698" s="77">
        <v>0</v>
      </c>
      <c r="Z698" s="77"/>
      <c r="AA698" s="77">
        <v>0</v>
      </c>
      <c r="AB698" s="77"/>
      <c r="AC698" s="77">
        <v>0</v>
      </c>
      <c r="AD698" s="77"/>
      <c r="AE698" s="77">
        <v>0</v>
      </c>
      <c r="AF698" s="77"/>
      <c r="AG698" s="77">
        <v>0</v>
      </c>
      <c r="AH698" s="77"/>
      <c r="AI698" s="77">
        <f t="shared" si="30"/>
        <v>1266917.3500000001</v>
      </c>
      <c r="AJ698" s="24"/>
      <c r="AK698" s="15" t="str">
        <f>'Gen Rev'!A698</f>
        <v>West Unity</v>
      </c>
      <c r="AL698" s="15" t="str">
        <f t="shared" si="31"/>
        <v>West Unity</v>
      </c>
      <c r="AM698" s="15" t="b">
        <f t="shared" si="32"/>
        <v>1</v>
      </c>
      <c r="AN698" s="31"/>
      <c r="AO698" s="31"/>
      <c r="AP698" s="31"/>
    </row>
    <row r="699" spans="1:42" s="31" customFormat="1" ht="12" customHeight="1" x14ac:dyDescent="0.2">
      <c r="A699" s="1" t="s">
        <v>155</v>
      </c>
      <c r="B699" s="1"/>
      <c r="C699" s="1" t="s">
        <v>781</v>
      </c>
      <c r="D699" s="15"/>
      <c r="E699" s="77">
        <v>134893.26999999999</v>
      </c>
      <c r="F699" s="77"/>
      <c r="G699" s="77">
        <v>991289.74</v>
      </c>
      <c r="H699" s="77"/>
      <c r="I699" s="77">
        <v>102401.37</v>
      </c>
      <c r="J699" s="77"/>
      <c r="K699" s="77">
        <v>0</v>
      </c>
      <c r="L699" s="77"/>
      <c r="M699" s="77">
        <v>21527.03</v>
      </c>
      <c r="N699" s="77"/>
      <c r="O699" s="77">
        <v>3143.5</v>
      </c>
      <c r="P699" s="77"/>
      <c r="Q699" s="77">
        <v>0</v>
      </c>
      <c r="R699" s="77"/>
      <c r="S699" s="77">
        <v>65354.59</v>
      </c>
      <c r="T699" s="77"/>
      <c r="U699" s="77">
        <v>0</v>
      </c>
      <c r="V699" s="77"/>
      <c r="W699" s="77">
        <v>0</v>
      </c>
      <c r="X699" s="77"/>
      <c r="Y699" s="77">
        <v>0</v>
      </c>
      <c r="Z699" s="77"/>
      <c r="AA699" s="77">
        <v>0</v>
      </c>
      <c r="AB699" s="77"/>
      <c r="AC699" s="77">
        <v>0</v>
      </c>
      <c r="AD699" s="77"/>
      <c r="AE699" s="77">
        <v>0</v>
      </c>
      <c r="AF699" s="77"/>
      <c r="AG699" s="77">
        <v>0</v>
      </c>
      <c r="AH699" s="77"/>
      <c r="AI699" s="77">
        <f t="shared" si="30"/>
        <v>1318609.5</v>
      </c>
      <c r="AJ699" s="24"/>
      <c r="AK699" s="15" t="str">
        <f>'Gen Rev'!A699</f>
        <v>Westfield Cente</v>
      </c>
      <c r="AL699" s="15" t="str">
        <f t="shared" si="31"/>
        <v>Westfield Cente</v>
      </c>
      <c r="AM699" s="15" t="b">
        <f t="shared" si="32"/>
        <v>1</v>
      </c>
      <c r="AN699" s="15"/>
      <c r="AO699" s="15"/>
      <c r="AP699" s="15"/>
    </row>
    <row r="700" spans="1:42" s="37" customFormat="1" ht="12" customHeight="1" x14ac:dyDescent="0.2">
      <c r="A700" s="15" t="s">
        <v>263</v>
      </c>
      <c r="B700" s="15"/>
      <c r="C700" s="15" t="s">
        <v>601</v>
      </c>
      <c r="D700" s="15"/>
      <c r="E700" s="77">
        <v>54016.78</v>
      </c>
      <c r="F700" s="77"/>
      <c r="G700" s="77">
        <v>198892.06</v>
      </c>
      <c r="H700" s="77"/>
      <c r="I700" s="77">
        <v>253703.65</v>
      </c>
      <c r="J700" s="77"/>
      <c r="K700" s="77">
        <v>29052.639999999999</v>
      </c>
      <c r="L700" s="77"/>
      <c r="M700" s="77">
        <v>143234.15</v>
      </c>
      <c r="N700" s="77"/>
      <c r="O700" s="77">
        <v>8056.78</v>
      </c>
      <c r="P700" s="77"/>
      <c r="Q700" s="77">
        <v>2714.29</v>
      </c>
      <c r="R700" s="77"/>
      <c r="S700" s="77">
        <v>10539.57</v>
      </c>
      <c r="T700" s="77"/>
      <c r="U700" s="77">
        <v>0</v>
      </c>
      <c r="V700" s="77"/>
      <c r="W700" s="77">
        <v>0</v>
      </c>
      <c r="X700" s="77"/>
      <c r="Y700" s="77">
        <v>0</v>
      </c>
      <c r="Z700" s="77"/>
      <c r="AA700" s="77">
        <v>0</v>
      </c>
      <c r="AB700" s="77"/>
      <c r="AC700" s="77">
        <v>0</v>
      </c>
      <c r="AD700" s="77"/>
      <c r="AE700" s="77">
        <v>0</v>
      </c>
      <c r="AF700" s="77"/>
      <c r="AG700" s="77">
        <v>0</v>
      </c>
      <c r="AH700" s="77"/>
      <c r="AI700" s="77">
        <f t="shared" si="30"/>
        <v>700209.92</v>
      </c>
      <c r="AJ700" s="24"/>
      <c r="AK700" s="15" t="str">
        <f>'Gen Rev'!A700</f>
        <v>Weston</v>
      </c>
      <c r="AL700" s="15" t="str">
        <f t="shared" si="31"/>
        <v>Weston</v>
      </c>
      <c r="AM700" s="15" t="b">
        <f t="shared" si="32"/>
        <v>1</v>
      </c>
      <c r="AN700" s="15"/>
      <c r="AO700" s="15"/>
      <c r="AP700" s="15"/>
    </row>
    <row r="701" spans="1:42" s="37" customFormat="1" ht="12" customHeight="1" x14ac:dyDescent="0.2">
      <c r="A701" s="15" t="s">
        <v>901</v>
      </c>
      <c r="B701" s="15"/>
      <c r="C701" s="15" t="s">
        <v>609</v>
      </c>
      <c r="D701" s="15"/>
      <c r="E701" s="77">
        <v>31521</v>
      </c>
      <c r="F701" s="77"/>
      <c r="G701" s="77">
        <v>0</v>
      </c>
      <c r="H701" s="77"/>
      <c r="I701" s="77">
        <v>39017</v>
      </c>
      <c r="J701" s="77"/>
      <c r="K701" s="77">
        <v>0</v>
      </c>
      <c r="L701" s="77"/>
      <c r="M701" s="77">
        <v>0</v>
      </c>
      <c r="N701" s="77"/>
      <c r="O701" s="77">
        <v>0</v>
      </c>
      <c r="P701" s="77"/>
      <c r="Q701" s="77">
        <v>461</v>
      </c>
      <c r="R701" s="77"/>
      <c r="S701" s="77">
        <v>15923</v>
      </c>
      <c r="T701" s="77"/>
      <c r="U701" s="77">
        <v>0</v>
      </c>
      <c r="V701" s="77"/>
      <c r="W701" s="77">
        <v>0</v>
      </c>
      <c r="X701" s="77"/>
      <c r="Y701" s="77">
        <v>0</v>
      </c>
      <c r="Z701" s="77"/>
      <c r="AA701" s="77">
        <v>0</v>
      </c>
      <c r="AB701" s="77"/>
      <c r="AC701" s="77">
        <v>0</v>
      </c>
      <c r="AD701" s="77"/>
      <c r="AE701" s="77">
        <v>0</v>
      </c>
      <c r="AF701" s="77"/>
      <c r="AG701" s="77">
        <v>0</v>
      </c>
      <c r="AH701" s="77"/>
      <c r="AI701" s="77">
        <f t="shared" si="30"/>
        <v>86922</v>
      </c>
      <c r="AJ701" s="24"/>
      <c r="AK701" s="15" t="str">
        <f>'Gen Rev'!A701</f>
        <v>Wharton</v>
      </c>
      <c r="AL701" s="15" t="str">
        <f t="shared" si="31"/>
        <v>Wharton</v>
      </c>
      <c r="AM701" s="15" t="b">
        <f t="shared" si="32"/>
        <v>1</v>
      </c>
      <c r="AN701" s="15"/>
      <c r="AO701" s="15"/>
      <c r="AP701" s="15"/>
    </row>
    <row r="702" spans="1:42" ht="12" customHeight="1" x14ac:dyDescent="0.2">
      <c r="A702" s="15" t="s">
        <v>458</v>
      </c>
      <c r="C702" s="15" t="s">
        <v>455</v>
      </c>
      <c r="E702" s="77">
        <v>2657106</v>
      </c>
      <c r="F702" s="77"/>
      <c r="G702" s="77">
        <v>0</v>
      </c>
      <c r="H702" s="77"/>
      <c r="I702" s="77">
        <v>1634822</v>
      </c>
      <c r="J702" s="77"/>
      <c r="K702" s="77">
        <v>36635</v>
      </c>
      <c r="L702" s="77"/>
      <c r="M702" s="77">
        <v>254706</v>
      </c>
      <c r="N702" s="77"/>
      <c r="O702" s="77">
        <v>85880</v>
      </c>
      <c r="P702" s="77"/>
      <c r="Q702" s="77">
        <v>0</v>
      </c>
      <c r="R702" s="77"/>
      <c r="S702" s="77">
        <v>107329</v>
      </c>
      <c r="T702" s="77"/>
      <c r="U702" s="77">
        <v>0</v>
      </c>
      <c r="V702" s="77"/>
      <c r="W702" s="77">
        <v>0</v>
      </c>
      <c r="X702" s="77"/>
      <c r="Y702" s="77">
        <v>54318</v>
      </c>
      <c r="Z702" s="77"/>
      <c r="AA702" s="77">
        <v>2518756</v>
      </c>
      <c r="AB702" s="77"/>
      <c r="AC702" s="77">
        <v>0</v>
      </c>
      <c r="AD702" s="77"/>
      <c r="AE702" s="77">
        <v>1606752</v>
      </c>
      <c r="AF702" s="77"/>
      <c r="AG702" s="77">
        <v>0</v>
      </c>
      <c r="AH702" s="77"/>
      <c r="AI702" s="77">
        <f t="shared" si="30"/>
        <v>8956304</v>
      </c>
      <c r="AJ702" s="24"/>
      <c r="AK702" s="15" t="str">
        <f>'Gen Rev'!A702</f>
        <v>Whitehouse</v>
      </c>
      <c r="AL702" s="15" t="str">
        <f t="shared" si="31"/>
        <v>Whitehouse</v>
      </c>
      <c r="AM702" s="15" t="b">
        <f t="shared" si="32"/>
        <v>1</v>
      </c>
    </row>
    <row r="703" spans="1:42" s="31" customFormat="1" ht="12" customHeight="1" x14ac:dyDescent="0.2">
      <c r="A703" s="15" t="s">
        <v>577</v>
      </c>
      <c r="B703" s="15"/>
      <c r="C703" s="15" t="s">
        <v>82</v>
      </c>
      <c r="D703" s="15"/>
      <c r="E703" s="77">
        <v>5486</v>
      </c>
      <c r="F703" s="77"/>
      <c r="G703" s="77">
        <v>0</v>
      </c>
      <c r="H703" s="77"/>
      <c r="I703" s="77">
        <v>12654</v>
      </c>
      <c r="J703" s="77"/>
      <c r="K703" s="77">
        <v>0</v>
      </c>
      <c r="L703" s="77"/>
      <c r="M703" s="77">
        <v>0</v>
      </c>
      <c r="N703" s="77"/>
      <c r="O703" s="77">
        <v>0</v>
      </c>
      <c r="P703" s="77"/>
      <c r="Q703" s="77">
        <v>60</v>
      </c>
      <c r="R703" s="77"/>
      <c r="S703" s="77">
        <v>0</v>
      </c>
      <c r="T703" s="77"/>
      <c r="U703" s="77">
        <v>0</v>
      </c>
      <c r="V703" s="77"/>
      <c r="W703" s="77">
        <v>0</v>
      </c>
      <c r="X703" s="77"/>
      <c r="Y703" s="77">
        <v>0</v>
      </c>
      <c r="Z703" s="77"/>
      <c r="AA703" s="77">
        <v>0</v>
      </c>
      <c r="AB703" s="77"/>
      <c r="AC703" s="77">
        <v>0</v>
      </c>
      <c r="AD703" s="77"/>
      <c r="AE703" s="77">
        <v>0</v>
      </c>
      <c r="AF703" s="77"/>
      <c r="AG703" s="77">
        <v>0</v>
      </c>
      <c r="AH703" s="77"/>
      <c r="AI703" s="77">
        <f t="shared" si="30"/>
        <v>18200</v>
      </c>
      <c r="AJ703" s="24"/>
      <c r="AK703" s="15" t="str">
        <f>'Gen Rev'!A703</f>
        <v>Wilkesville</v>
      </c>
      <c r="AL703" s="15" t="str">
        <f t="shared" si="31"/>
        <v>Wilkesville</v>
      </c>
      <c r="AM703" s="15" t="b">
        <f t="shared" si="32"/>
        <v>1</v>
      </c>
      <c r="AN703" s="15"/>
      <c r="AO703" s="15"/>
      <c r="AP703" s="15"/>
    </row>
    <row r="704" spans="1:42" ht="12" customHeight="1" x14ac:dyDescent="0.2">
      <c r="A704" s="1" t="s">
        <v>40</v>
      </c>
      <c r="B704" s="1"/>
      <c r="C704" s="1" t="s">
        <v>747</v>
      </c>
      <c r="E704" s="77">
        <v>159196.69</v>
      </c>
      <c r="F704" s="77"/>
      <c r="G704" s="77">
        <v>425014.52</v>
      </c>
      <c r="H704" s="77"/>
      <c r="I704" s="77">
        <v>153349.25</v>
      </c>
      <c r="J704" s="77"/>
      <c r="K704" s="77">
        <v>0</v>
      </c>
      <c r="L704" s="77"/>
      <c r="M704" s="77">
        <v>59132.69</v>
      </c>
      <c r="N704" s="77"/>
      <c r="O704" s="77">
        <v>45179.41</v>
      </c>
      <c r="P704" s="77"/>
      <c r="Q704" s="77">
        <v>1063.02</v>
      </c>
      <c r="R704" s="77"/>
      <c r="S704" s="77">
        <v>4470.5200000000004</v>
      </c>
      <c r="T704" s="77"/>
      <c r="U704" s="77">
        <v>0</v>
      </c>
      <c r="V704" s="77"/>
      <c r="W704" s="77">
        <v>0</v>
      </c>
      <c r="X704" s="77"/>
      <c r="Y704" s="77">
        <v>0</v>
      </c>
      <c r="Z704" s="77"/>
      <c r="AA704" s="77">
        <v>25000</v>
      </c>
      <c r="AB704" s="77"/>
      <c r="AC704" s="77">
        <v>0</v>
      </c>
      <c r="AD704" s="77"/>
      <c r="AE704" s="77">
        <v>0</v>
      </c>
      <c r="AF704" s="77"/>
      <c r="AG704" s="77">
        <v>0</v>
      </c>
      <c r="AH704" s="77"/>
      <c r="AI704" s="77">
        <f t="shared" si="30"/>
        <v>872406.1</v>
      </c>
      <c r="AJ704" s="24"/>
      <c r="AK704" s="15" t="str">
        <f>'Gen Rev'!A704</f>
        <v>Williamsburg</v>
      </c>
      <c r="AL704" s="15" t="str">
        <f t="shared" si="31"/>
        <v>Williamsburg</v>
      </c>
      <c r="AM704" s="15" t="b">
        <f t="shared" si="32"/>
        <v>1</v>
      </c>
      <c r="AN704" s="31"/>
      <c r="AO704" s="31"/>
      <c r="AP704" s="31"/>
    </row>
    <row r="705" spans="1:42" ht="12" customHeight="1" x14ac:dyDescent="0.2">
      <c r="A705" s="1" t="s">
        <v>192</v>
      </c>
      <c r="B705" s="1"/>
      <c r="C705" s="1" t="s">
        <v>793</v>
      </c>
      <c r="E705" s="77">
        <v>44047.95</v>
      </c>
      <c r="F705" s="77"/>
      <c r="G705" s="77">
        <v>0</v>
      </c>
      <c r="H705" s="77"/>
      <c r="I705" s="77">
        <v>67721.570000000007</v>
      </c>
      <c r="J705" s="77"/>
      <c r="K705" s="77">
        <v>0</v>
      </c>
      <c r="L705" s="77"/>
      <c r="M705" s="77">
        <v>0</v>
      </c>
      <c r="N705" s="77"/>
      <c r="O705" s="77">
        <v>936.38</v>
      </c>
      <c r="P705" s="77"/>
      <c r="Q705" s="77">
        <v>1894.61</v>
      </c>
      <c r="R705" s="77"/>
      <c r="S705" s="77">
        <v>1811.31</v>
      </c>
      <c r="T705" s="77"/>
      <c r="U705" s="77">
        <v>0</v>
      </c>
      <c r="V705" s="77"/>
      <c r="W705" s="77">
        <v>0</v>
      </c>
      <c r="X705" s="77"/>
      <c r="Y705" s="77">
        <v>0</v>
      </c>
      <c r="Z705" s="77"/>
      <c r="AA705" s="77">
        <v>0</v>
      </c>
      <c r="AB705" s="77"/>
      <c r="AC705" s="77">
        <v>0</v>
      </c>
      <c r="AD705" s="77"/>
      <c r="AE705" s="77">
        <v>0</v>
      </c>
      <c r="AF705" s="77"/>
      <c r="AG705" s="77">
        <v>0</v>
      </c>
      <c r="AH705" s="77"/>
      <c r="AI705" s="77">
        <f t="shared" si="30"/>
        <v>116411.82</v>
      </c>
      <c r="AJ705" s="24"/>
      <c r="AK705" s="15" t="str">
        <f>'Gen Rev'!A705</f>
        <v>Williamsport</v>
      </c>
      <c r="AL705" s="15" t="str">
        <f t="shared" si="31"/>
        <v>Williamsport</v>
      </c>
      <c r="AM705" s="15" t="b">
        <f t="shared" si="32"/>
        <v>1</v>
      </c>
    </row>
    <row r="706" spans="1:42" ht="12" customHeight="1" x14ac:dyDescent="0.2">
      <c r="A706" s="1" t="s">
        <v>576</v>
      </c>
      <c r="B706" s="1"/>
      <c r="C706" s="1" t="s">
        <v>572</v>
      </c>
      <c r="E706" s="77">
        <v>36652.879999999997</v>
      </c>
      <c r="F706" s="77"/>
      <c r="G706" s="77">
        <v>48162.400000000001</v>
      </c>
      <c r="H706" s="77"/>
      <c r="I706" s="77">
        <v>57702.14</v>
      </c>
      <c r="J706" s="77"/>
      <c r="K706" s="77">
        <v>0</v>
      </c>
      <c r="L706" s="77"/>
      <c r="M706" s="77">
        <v>30750</v>
      </c>
      <c r="N706" s="77"/>
      <c r="O706" s="77">
        <v>1325.87</v>
      </c>
      <c r="P706" s="77"/>
      <c r="Q706" s="77">
        <v>240.6</v>
      </c>
      <c r="R706" s="77"/>
      <c r="S706" s="77">
        <v>12440.3</v>
      </c>
      <c r="T706" s="77"/>
      <c r="U706" s="77">
        <v>0</v>
      </c>
      <c r="V706" s="77"/>
      <c r="W706" s="77">
        <v>0</v>
      </c>
      <c r="X706" s="77"/>
      <c r="Y706" s="77">
        <v>0</v>
      </c>
      <c r="Z706" s="77"/>
      <c r="AA706" s="77">
        <v>0</v>
      </c>
      <c r="AB706" s="77"/>
      <c r="AC706" s="77">
        <v>0</v>
      </c>
      <c r="AD706" s="77"/>
      <c r="AE706" s="77">
        <v>0</v>
      </c>
      <c r="AF706" s="77"/>
      <c r="AG706" s="77">
        <v>0</v>
      </c>
      <c r="AH706" s="77"/>
      <c r="AI706" s="77">
        <f t="shared" si="30"/>
        <v>187274.18999999997</v>
      </c>
      <c r="AJ706" s="24"/>
      <c r="AK706" s="15" t="str">
        <f>'Gen Rev'!A706</f>
        <v>Willshire</v>
      </c>
      <c r="AL706" s="15" t="str">
        <f t="shared" si="31"/>
        <v>Willshire</v>
      </c>
      <c r="AM706" s="15" t="b">
        <f t="shared" si="32"/>
        <v>1</v>
      </c>
    </row>
    <row r="707" spans="1:42" ht="12" customHeight="1" x14ac:dyDescent="0.2">
      <c r="A707" s="1" t="s">
        <v>845</v>
      </c>
      <c r="B707" s="1"/>
      <c r="C707" s="1" t="s">
        <v>804</v>
      </c>
      <c r="E707" s="77">
        <v>11171</v>
      </c>
      <c r="F707" s="77"/>
      <c r="G707" s="77">
        <v>97668.79</v>
      </c>
      <c r="H707" s="77"/>
      <c r="I707" s="77">
        <v>17103.45</v>
      </c>
      <c r="J707" s="77"/>
      <c r="K707" s="77">
        <v>0</v>
      </c>
      <c r="L707" s="77"/>
      <c r="M707" s="77">
        <v>0</v>
      </c>
      <c r="N707" s="77"/>
      <c r="O707" s="77">
        <v>2498.73</v>
      </c>
      <c r="P707" s="77"/>
      <c r="Q707" s="77">
        <v>84.89</v>
      </c>
      <c r="R707" s="77"/>
      <c r="S707" s="77">
        <v>1284.73</v>
      </c>
      <c r="T707" s="77"/>
      <c r="U707" s="77">
        <v>0</v>
      </c>
      <c r="V707" s="77"/>
      <c r="W707" s="77">
        <v>0</v>
      </c>
      <c r="X707" s="77"/>
      <c r="Y707" s="77">
        <v>0</v>
      </c>
      <c r="Z707" s="77"/>
      <c r="AA707" s="77">
        <v>0</v>
      </c>
      <c r="AB707" s="77"/>
      <c r="AC707" s="77">
        <v>0</v>
      </c>
      <c r="AD707" s="77"/>
      <c r="AE707" s="77">
        <v>0</v>
      </c>
      <c r="AF707" s="77"/>
      <c r="AG707" s="77">
        <v>0</v>
      </c>
      <c r="AH707" s="77"/>
      <c r="AI707" s="77">
        <f t="shared" si="30"/>
        <v>129811.58999999998</v>
      </c>
      <c r="AJ707" s="24"/>
      <c r="AK707" s="15" t="str">
        <f>'Gen Rev'!A707</f>
        <v>Wilmot</v>
      </c>
      <c r="AL707" s="15" t="str">
        <f t="shared" si="31"/>
        <v>Wilmot</v>
      </c>
      <c r="AM707" s="15" t="b">
        <f t="shared" si="32"/>
        <v>1</v>
      </c>
    </row>
    <row r="708" spans="1:42" ht="12" customHeight="1" x14ac:dyDescent="0.2">
      <c r="A708" s="15" t="s">
        <v>478</v>
      </c>
      <c r="C708" s="15" t="s">
        <v>474</v>
      </c>
      <c r="E708" s="77">
        <f>10775+6570</f>
        <v>17345</v>
      </c>
      <c r="F708" s="77"/>
      <c r="G708" s="77">
        <v>0</v>
      </c>
      <c r="H708" s="77"/>
      <c r="I708" s="77">
        <f>5297+6339</f>
        <v>11636</v>
      </c>
      <c r="J708" s="77"/>
      <c r="K708" s="77">
        <v>0</v>
      </c>
      <c r="L708" s="77"/>
      <c r="M708" s="77">
        <v>3000</v>
      </c>
      <c r="N708" s="77"/>
      <c r="O708" s="77">
        <v>325</v>
      </c>
      <c r="P708" s="77"/>
      <c r="Q708" s="77">
        <v>62</v>
      </c>
      <c r="R708" s="77"/>
      <c r="S708" s="77">
        <v>24</v>
      </c>
      <c r="T708" s="77"/>
      <c r="U708" s="77">
        <v>0</v>
      </c>
      <c r="V708" s="77"/>
      <c r="W708" s="77">
        <v>0</v>
      </c>
      <c r="X708" s="77"/>
      <c r="Y708" s="77">
        <v>0</v>
      </c>
      <c r="Z708" s="77"/>
      <c r="AA708" s="77">
        <v>0</v>
      </c>
      <c r="AB708" s="77"/>
      <c r="AC708" s="77">
        <v>0</v>
      </c>
      <c r="AD708" s="77"/>
      <c r="AE708" s="77">
        <v>0</v>
      </c>
      <c r="AF708" s="77"/>
      <c r="AG708" s="77">
        <v>0</v>
      </c>
      <c r="AH708" s="77"/>
      <c r="AI708" s="77">
        <f t="shared" si="30"/>
        <v>32392</v>
      </c>
      <c r="AJ708" s="24"/>
      <c r="AK708" s="15" t="str">
        <f>'Gen Rev'!A708</f>
        <v>Wilson</v>
      </c>
      <c r="AL708" s="15" t="str">
        <f t="shared" si="31"/>
        <v>Wilson</v>
      </c>
      <c r="AM708" s="15" t="b">
        <f t="shared" si="32"/>
        <v>1</v>
      </c>
    </row>
    <row r="709" spans="1:42" ht="12" customHeight="1" x14ac:dyDescent="0.2">
      <c r="A709" s="1" t="s">
        <v>1</v>
      </c>
      <c r="B709" s="1"/>
      <c r="C709" s="1" t="s">
        <v>661</v>
      </c>
      <c r="E709" s="77">
        <v>134598.37</v>
      </c>
      <c r="F709" s="77"/>
      <c r="G709" s="77">
        <v>0</v>
      </c>
      <c r="H709" s="77"/>
      <c r="I709" s="77">
        <v>107900.43</v>
      </c>
      <c r="J709" s="77"/>
      <c r="K709" s="77">
        <v>0</v>
      </c>
      <c r="L709" s="77"/>
      <c r="M709" s="77">
        <v>0</v>
      </c>
      <c r="N709" s="77"/>
      <c r="O709" s="77">
        <v>82560.39</v>
      </c>
      <c r="P709" s="77"/>
      <c r="Q709" s="77">
        <v>831.15</v>
      </c>
      <c r="R709" s="77"/>
      <c r="S709" s="77">
        <v>38789.97</v>
      </c>
      <c r="T709" s="77"/>
      <c r="U709" s="77">
        <v>0</v>
      </c>
      <c r="V709" s="77"/>
      <c r="W709" s="77">
        <v>0</v>
      </c>
      <c r="X709" s="77"/>
      <c r="Y709" s="77">
        <v>0</v>
      </c>
      <c r="Z709" s="77"/>
      <c r="AA709" s="77">
        <v>0</v>
      </c>
      <c r="AB709" s="77"/>
      <c r="AC709" s="77">
        <v>29208</v>
      </c>
      <c r="AD709" s="77"/>
      <c r="AE709" s="77">
        <v>0</v>
      </c>
      <c r="AF709" s="77"/>
      <c r="AG709" s="77">
        <v>0</v>
      </c>
      <c r="AH709" s="77"/>
      <c r="AI709" s="77">
        <f t="shared" si="30"/>
        <v>393888.31000000006</v>
      </c>
      <c r="AJ709" s="24"/>
      <c r="AK709" s="15" t="str">
        <f>'Gen Rev'!A709</f>
        <v>Winchester</v>
      </c>
      <c r="AL709" s="15" t="str">
        <f t="shared" si="31"/>
        <v>Winchester</v>
      </c>
      <c r="AM709" s="15" t="b">
        <f t="shared" si="32"/>
        <v>1</v>
      </c>
      <c r="AN709" s="31"/>
      <c r="AO709" s="31"/>
      <c r="AP709" s="31"/>
    </row>
    <row r="710" spans="1:42" ht="12" customHeight="1" x14ac:dyDescent="0.2">
      <c r="A710" s="1" t="s">
        <v>197</v>
      </c>
      <c r="B710" s="1"/>
      <c r="C710" s="1" t="s">
        <v>795</v>
      </c>
      <c r="E710" s="77">
        <v>87540.84</v>
      </c>
      <c r="F710" s="77"/>
      <c r="G710" s="77">
        <v>478146.63</v>
      </c>
      <c r="H710" s="77"/>
      <c r="I710" s="77">
        <v>419659</v>
      </c>
      <c r="J710" s="77"/>
      <c r="K710" s="77">
        <v>0</v>
      </c>
      <c r="L710" s="77"/>
      <c r="M710" s="77">
        <v>5540</v>
      </c>
      <c r="N710" s="77"/>
      <c r="O710" s="77">
        <v>53123.01</v>
      </c>
      <c r="P710" s="77"/>
      <c r="Q710" s="77">
        <v>675.74</v>
      </c>
      <c r="R710" s="77"/>
      <c r="S710" s="77">
        <v>3552.45</v>
      </c>
      <c r="T710" s="77"/>
      <c r="U710" s="77">
        <v>0</v>
      </c>
      <c r="V710" s="77"/>
      <c r="W710" s="77">
        <v>0</v>
      </c>
      <c r="X710" s="77"/>
      <c r="Y710" s="77">
        <v>0</v>
      </c>
      <c r="Z710" s="77"/>
      <c r="AA710" s="77">
        <v>19602</v>
      </c>
      <c r="AB710" s="77"/>
      <c r="AC710" s="77">
        <v>0</v>
      </c>
      <c r="AD710" s="77"/>
      <c r="AE710" s="77">
        <v>30140.78</v>
      </c>
      <c r="AF710" s="77"/>
      <c r="AG710" s="77">
        <v>0</v>
      </c>
      <c r="AH710" s="77"/>
      <c r="AI710" s="77">
        <f t="shared" si="30"/>
        <v>1097980.45</v>
      </c>
      <c r="AJ710" s="24"/>
      <c r="AK710" s="15" t="str">
        <f>'Gen Rev'!A710</f>
        <v>Windham</v>
      </c>
      <c r="AL710" s="15" t="str">
        <f t="shared" si="31"/>
        <v>Windham</v>
      </c>
      <c r="AM710" s="15" t="b">
        <f t="shared" si="32"/>
        <v>1</v>
      </c>
      <c r="AN710" s="31"/>
      <c r="AO710" s="31"/>
      <c r="AP710" s="31"/>
    </row>
    <row r="711" spans="1:42" ht="12" customHeight="1" x14ac:dyDescent="0.2">
      <c r="A711" s="1" t="s">
        <v>846</v>
      </c>
      <c r="B711" s="1"/>
      <c r="C711" s="1" t="s">
        <v>770</v>
      </c>
      <c r="E711" s="77">
        <v>491386.15</v>
      </c>
      <c r="F711" s="77"/>
      <c r="G711" s="77">
        <v>950605.6</v>
      </c>
      <c r="H711" s="77"/>
      <c r="I711" s="77">
        <v>407219.51</v>
      </c>
      <c r="J711" s="77"/>
      <c r="K711" s="77">
        <v>8977.2999999999993</v>
      </c>
      <c r="L711" s="77"/>
      <c r="M711" s="77">
        <v>55260.75</v>
      </c>
      <c r="N711" s="77"/>
      <c r="O711" s="77">
        <v>104005.51</v>
      </c>
      <c r="P711" s="77"/>
      <c r="Q711" s="77">
        <v>3052.84</v>
      </c>
      <c r="R711" s="77"/>
      <c r="S711" s="77">
        <v>62663.1</v>
      </c>
      <c r="T711" s="77"/>
      <c r="U711" s="77">
        <v>0</v>
      </c>
      <c r="V711" s="77"/>
      <c r="W711" s="77">
        <v>0</v>
      </c>
      <c r="X711" s="77"/>
      <c r="Y711" s="77">
        <v>0</v>
      </c>
      <c r="Z711" s="77"/>
      <c r="AA711" s="77">
        <v>98160</v>
      </c>
      <c r="AB711" s="77"/>
      <c r="AC711" s="77">
        <v>120400</v>
      </c>
      <c r="AD711" s="77"/>
      <c r="AE711" s="77">
        <v>12625.66</v>
      </c>
      <c r="AF711" s="77"/>
      <c r="AG711" s="77">
        <v>0</v>
      </c>
      <c r="AH711" s="77"/>
      <c r="AI711" s="77">
        <f t="shared" si="30"/>
        <v>2314356.4200000004</v>
      </c>
      <c r="AJ711" s="24"/>
      <c r="AK711" s="15" t="str">
        <f>'Gen Rev'!A711</f>
        <v>Wintersville</v>
      </c>
      <c r="AL711" s="15" t="str">
        <f t="shared" si="31"/>
        <v>Wintersville</v>
      </c>
      <c r="AM711" s="15" t="b">
        <f t="shared" si="32"/>
        <v>1</v>
      </c>
    </row>
    <row r="712" spans="1:42" ht="12" hidden="1" customHeight="1" x14ac:dyDescent="0.2">
      <c r="A712" s="1" t="s">
        <v>386</v>
      </c>
      <c r="B712" s="1"/>
      <c r="C712" s="1" t="s">
        <v>378</v>
      </c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>
        <f t="shared" si="30"/>
        <v>0</v>
      </c>
      <c r="AJ712" s="24"/>
      <c r="AK712" s="15" t="str">
        <f>'Gen Rev'!A712</f>
        <v>Woodlawn</v>
      </c>
      <c r="AL712" s="15" t="str">
        <f t="shared" si="31"/>
        <v>Woodlawn</v>
      </c>
      <c r="AM712" s="15" t="b">
        <f t="shared" si="32"/>
        <v>1</v>
      </c>
    </row>
    <row r="713" spans="1:42" s="31" customFormat="1" ht="12" hidden="1" customHeight="1" x14ac:dyDescent="0.2">
      <c r="A713" s="1" t="s">
        <v>327</v>
      </c>
      <c r="B713" s="1"/>
      <c r="C713" s="1" t="s">
        <v>316</v>
      </c>
      <c r="D713" s="15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>
        <f t="shared" si="30"/>
        <v>0</v>
      </c>
      <c r="AJ713" s="24"/>
      <c r="AK713" s="15" t="str">
        <f>'Gen Rev'!A713</f>
        <v>Woodmere</v>
      </c>
      <c r="AL713" s="15" t="str">
        <f t="shared" si="31"/>
        <v>Woodmere</v>
      </c>
      <c r="AM713" s="15" t="b">
        <f t="shared" si="32"/>
        <v>1</v>
      </c>
      <c r="AN713" s="15"/>
      <c r="AO713" s="15"/>
      <c r="AP713" s="15"/>
    </row>
    <row r="714" spans="1:42" ht="12" customHeight="1" x14ac:dyDescent="0.2">
      <c r="A714" s="1" t="s">
        <v>166</v>
      </c>
      <c r="B714" s="1"/>
      <c r="C714" s="1" t="s">
        <v>785</v>
      </c>
      <c r="E714" s="77">
        <v>119662.01</v>
      </c>
      <c r="F714" s="77"/>
      <c r="G714" s="77">
        <v>529508.85</v>
      </c>
      <c r="H714" s="77"/>
      <c r="I714" s="77">
        <v>207907.7</v>
      </c>
      <c r="J714" s="77"/>
      <c r="K714" s="77">
        <v>0</v>
      </c>
      <c r="L714" s="77"/>
      <c r="M714" s="77">
        <v>256808.3</v>
      </c>
      <c r="N714" s="77"/>
      <c r="O714" s="77">
        <v>32674.36</v>
      </c>
      <c r="P714" s="77"/>
      <c r="Q714" s="77">
        <v>93517.2</v>
      </c>
      <c r="R714" s="77"/>
      <c r="S714" s="77">
        <v>37089.43</v>
      </c>
      <c r="T714" s="77"/>
      <c r="U714" s="77">
        <v>0</v>
      </c>
      <c r="V714" s="77"/>
      <c r="W714" s="77">
        <v>61125.65</v>
      </c>
      <c r="X714" s="77"/>
      <c r="Y714" s="77">
        <v>0</v>
      </c>
      <c r="Z714" s="77"/>
      <c r="AA714" s="77">
        <v>9526.36</v>
      </c>
      <c r="AB714" s="77"/>
      <c r="AC714" s="77">
        <v>0</v>
      </c>
      <c r="AD714" s="77"/>
      <c r="AE714" s="77">
        <v>1598.65</v>
      </c>
      <c r="AF714" s="77"/>
      <c r="AG714" s="77">
        <v>0</v>
      </c>
      <c r="AH714" s="77"/>
      <c r="AI714" s="77">
        <f t="shared" si="30"/>
        <v>1349418.51</v>
      </c>
      <c r="AJ714" s="24"/>
      <c r="AK714" s="15" t="str">
        <f>'Gen Rev'!A714</f>
        <v>Woodsfield</v>
      </c>
      <c r="AL714" s="15" t="str">
        <f t="shared" si="31"/>
        <v>Woodsfield</v>
      </c>
      <c r="AM714" s="15" t="b">
        <f t="shared" si="32"/>
        <v>1</v>
      </c>
      <c r="AN714" s="31"/>
      <c r="AO714" s="31"/>
      <c r="AP714" s="31"/>
    </row>
    <row r="715" spans="1:42" ht="12" customHeight="1" x14ac:dyDescent="0.2">
      <c r="A715" s="1" t="s">
        <v>290</v>
      </c>
      <c r="B715" s="1"/>
      <c r="C715" s="1" t="s">
        <v>287</v>
      </c>
      <c r="E715" s="77">
        <v>5819.33</v>
      </c>
      <c r="F715" s="77"/>
      <c r="G715" s="77">
        <v>37529.1</v>
      </c>
      <c r="H715" s="77"/>
      <c r="I715" s="77">
        <v>37953.4</v>
      </c>
      <c r="J715" s="77"/>
      <c r="K715" s="77">
        <v>0</v>
      </c>
      <c r="L715" s="77"/>
      <c r="M715" s="77">
        <v>0</v>
      </c>
      <c r="N715" s="77"/>
      <c r="O715" s="77">
        <v>70</v>
      </c>
      <c r="P715" s="77"/>
      <c r="Q715" s="77">
        <v>0</v>
      </c>
      <c r="R715" s="77"/>
      <c r="S715" s="77">
        <v>6315.39</v>
      </c>
      <c r="T715" s="77"/>
      <c r="U715" s="77">
        <v>0</v>
      </c>
      <c r="V715" s="77"/>
      <c r="W715" s="77">
        <v>0</v>
      </c>
      <c r="X715" s="77"/>
      <c r="Y715" s="77">
        <v>0</v>
      </c>
      <c r="Z715" s="77"/>
      <c r="AA715" s="77">
        <v>0</v>
      </c>
      <c r="AB715" s="77"/>
      <c r="AC715" s="77">
        <v>0</v>
      </c>
      <c r="AD715" s="77"/>
      <c r="AE715" s="77">
        <v>14228</v>
      </c>
      <c r="AF715" s="77"/>
      <c r="AG715" s="77">
        <v>0</v>
      </c>
      <c r="AH715" s="77"/>
      <c r="AI715" s="77">
        <f t="shared" si="30"/>
        <v>101915.22</v>
      </c>
      <c r="AJ715" s="24"/>
      <c r="AK715" s="15" t="str">
        <f>'Gen Rev'!A715</f>
        <v>Woodstock</v>
      </c>
      <c r="AL715" s="15" t="str">
        <f t="shared" si="31"/>
        <v>Woodstock</v>
      </c>
      <c r="AM715" s="15" t="b">
        <f t="shared" si="32"/>
        <v>1</v>
      </c>
    </row>
    <row r="716" spans="1:42" s="31" customFormat="1" ht="12" customHeight="1" x14ac:dyDescent="0.2">
      <c r="A716" s="24" t="s">
        <v>527</v>
      </c>
      <c r="B716" s="24"/>
      <c r="C716" s="24" t="s">
        <v>525</v>
      </c>
      <c r="D716" s="24"/>
      <c r="E716" s="77">
        <v>351494</v>
      </c>
      <c r="F716" s="77"/>
      <c r="G716" s="77">
        <v>0</v>
      </c>
      <c r="H716" s="77"/>
      <c r="I716" s="77">
        <v>291014</v>
      </c>
      <c r="J716" s="77"/>
      <c r="K716" s="77">
        <v>0</v>
      </c>
      <c r="L716" s="77"/>
      <c r="M716" s="77">
        <v>44876</v>
      </c>
      <c r="N716" s="77"/>
      <c r="O716" s="77">
        <v>61508</v>
      </c>
      <c r="P716" s="77"/>
      <c r="Q716" s="77">
        <v>2193</v>
      </c>
      <c r="R716" s="77"/>
      <c r="S716" s="77">
        <v>16176</v>
      </c>
      <c r="T716" s="77"/>
      <c r="U716" s="77">
        <v>0</v>
      </c>
      <c r="V716" s="77"/>
      <c r="W716" s="77">
        <v>0</v>
      </c>
      <c r="X716" s="77"/>
      <c r="Y716" s="77">
        <v>0</v>
      </c>
      <c r="Z716" s="77"/>
      <c r="AA716" s="77">
        <v>20000</v>
      </c>
      <c r="AB716" s="77"/>
      <c r="AC716" s="77">
        <v>0</v>
      </c>
      <c r="AD716" s="77"/>
      <c r="AE716" s="77">
        <v>0</v>
      </c>
      <c r="AF716" s="77"/>
      <c r="AG716" s="77">
        <v>0</v>
      </c>
      <c r="AH716" s="77"/>
      <c r="AI716" s="77">
        <f t="shared" si="30"/>
        <v>787261</v>
      </c>
      <c r="AJ716" s="24"/>
      <c r="AK716" s="15" t="str">
        <f>'Gen Rev'!A716</f>
        <v>Woodville</v>
      </c>
      <c r="AL716" s="15" t="str">
        <f t="shared" si="31"/>
        <v>Woodville</v>
      </c>
      <c r="AM716" s="15" t="b">
        <f t="shared" si="32"/>
        <v>1</v>
      </c>
      <c r="AN716" s="24"/>
      <c r="AO716" s="24"/>
      <c r="AP716" s="24"/>
    </row>
    <row r="717" spans="1:42" ht="12" customHeight="1" x14ac:dyDescent="0.2">
      <c r="A717" s="1" t="s">
        <v>240</v>
      </c>
      <c r="B717" s="1"/>
      <c r="C717" s="1" t="s">
        <v>808</v>
      </c>
      <c r="D717" s="24"/>
      <c r="E717" s="77">
        <v>19623.419999999998</v>
      </c>
      <c r="F717" s="77"/>
      <c r="G717" s="77">
        <v>0</v>
      </c>
      <c r="H717" s="77"/>
      <c r="I717" s="77">
        <v>346285.08</v>
      </c>
      <c r="J717" s="77"/>
      <c r="K717" s="77">
        <v>5822.91</v>
      </c>
      <c r="L717" s="77"/>
      <c r="M717" s="77">
        <v>71134.240000000005</v>
      </c>
      <c r="N717" s="77"/>
      <c r="O717" s="77">
        <v>75</v>
      </c>
      <c r="P717" s="77"/>
      <c r="Q717" s="77">
        <v>17.190000000000001</v>
      </c>
      <c r="R717" s="77"/>
      <c r="S717" s="77">
        <v>36405.160000000003</v>
      </c>
      <c r="T717" s="77"/>
      <c r="U717" s="77">
        <v>0</v>
      </c>
      <c r="V717" s="77"/>
      <c r="W717" s="77">
        <v>0</v>
      </c>
      <c r="X717" s="77"/>
      <c r="Y717" s="77">
        <v>0</v>
      </c>
      <c r="Z717" s="77"/>
      <c r="AA717" s="77">
        <v>0</v>
      </c>
      <c r="AB717" s="77"/>
      <c r="AC717" s="77">
        <v>0</v>
      </c>
      <c r="AD717" s="77"/>
      <c r="AE717" s="77">
        <v>0</v>
      </c>
      <c r="AF717" s="77"/>
      <c r="AG717" s="77">
        <v>0</v>
      </c>
      <c r="AH717" s="77"/>
      <c r="AI717" s="77">
        <f t="shared" si="30"/>
        <v>479363</v>
      </c>
      <c r="AJ717" s="24"/>
      <c r="AK717" s="15" t="str">
        <f>'Gen Rev'!A717</f>
        <v>Wren</v>
      </c>
      <c r="AL717" s="15" t="str">
        <f t="shared" si="31"/>
        <v>Wren</v>
      </c>
      <c r="AM717" s="15" t="b">
        <f t="shared" si="32"/>
        <v>1</v>
      </c>
      <c r="AN717" s="29"/>
      <c r="AO717" s="29"/>
      <c r="AP717" s="29"/>
    </row>
    <row r="718" spans="1:42" ht="12" customHeight="1" x14ac:dyDescent="0.2">
      <c r="A718" s="1" t="s">
        <v>231</v>
      </c>
      <c r="B718" s="1"/>
      <c r="C718" s="1" t="s">
        <v>805</v>
      </c>
      <c r="E718" s="77">
        <v>25711.99</v>
      </c>
      <c r="F718" s="77"/>
      <c r="G718" s="77">
        <v>0</v>
      </c>
      <c r="H718" s="77"/>
      <c r="I718" s="77">
        <v>11784.27</v>
      </c>
      <c r="J718" s="77"/>
      <c r="K718" s="77">
        <v>0</v>
      </c>
      <c r="L718" s="77"/>
      <c r="M718" s="77">
        <v>0</v>
      </c>
      <c r="N718" s="77"/>
      <c r="O718" s="77">
        <v>1402.94</v>
      </c>
      <c r="P718" s="77"/>
      <c r="Q718" s="77">
        <v>17.63</v>
      </c>
      <c r="R718" s="77"/>
      <c r="S718" s="77">
        <v>0</v>
      </c>
      <c r="T718" s="77"/>
      <c r="U718" s="77">
        <v>0</v>
      </c>
      <c r="V718" s="77"/>
      <c r="W718" s="77">
        <v>0</v>
      </c>
      <c r="X718" s="77"/>
      <c r="Y718" s="77">
        <v>0</v>
      </c>
      <c r="Z718" s="77"/>
      <c r="AA718" s="77">
        <v>0</v>
      </c>
      <c r="AB718" s="77"/>
      <c r="AC718" s="77">
        <v>0</v>
      </c>
      <c r="AD718" s="77"/>
      <c r="AE718" s="77">
        <v>0</v>
      </c>
      <c r="AF718" s="77"/>
      <c r="AG718" s="77">
        <v>0</v>
      </c>
      <c r="AH718" s="77"/>
      <c r="AI718" s="77">
        <f t="shared" si="30"/>
        <v>38916.83</v>
      </c>
      <c r="AJ718" s="24"/>
      <c r="AK718" s="15" t="str">
        <f>'Gen Rev'!A718</f>
        <v>Yankee Lake</v>
      </c>
      <c r="AL718" s="15" t="str">
        <f t="shared" si="31"/>
        <v>Yankee Lake</v>
      </c>
      <c r="AM718" s="15" t="b">
        <f t="shared" si="32"/>
        <v>1</v>
      </c>
      <c r="AN718" s="32"/>
      <c r="AO718" s="32"/>
      <c r="AP718" s="32"/>
    </row>
    <row r="719" spans="1:42" ht="12" customHeight="1" x14ac:dyDescent="0.2">
      <c r="A719" s="15" t="s">
        <v>374</v>
      </c>
      <c r="C719" s="15" t="s">
        <v>371</v>
      </c>
      <c r="E719" s="77">
        <v>1038648</v>
      </c>
      <c r="F719" s="77"/>
      <c r="G719" s="77">
        <v>1158919</v>
      </c>
      <c r="H719" s="77"/>
      <c r="I719" s="77">
        <v>530309</v>
      </c>
      <c r="J719" s="77"/>
      <c r="K719" s="77">
        <v>0</v>
      </c>
      <c r="L719" s="77"/>
      <c r="M719" s="77">
        <v>76413</v>
      </c>
      <c r="N719" s="77"/>
      <c r="O719" s="77">
        <v>113127</v>
      </c>
      <c r="P719" s="77"/>
      <c r="Q719" s="77">
        <v>1260</v>
      </c>
      <c r="R719" s="77"/>
      <c r="S719" s="77">
        <v>228217</v>
      </c>
      <c r="T719" s="77"/>
      <c r="U719" s="77">
        <v>0</v>
      </c>
      <c r="V719" s="77"/>
      <c r="W719" s="77">
        <v>0</v>
      </c>
      <c r="X719" s="77"/>
      <c r="Y719" s="77">
        <v>0</v>
      </c>
      <c r="Z719" s="77"/>
      <c r="AA719" s="77">
        <v>529049</v>
      </c>
      <c r="AB719" s="77"/>
      <c r="AC719" s="77">
        <v>0</v>
      </c>
      <c r="AD719" s="77"/>
      <c r="AE719" s="77">
        <v>0</v>
      </c>
      <c r="AF719" s="77"/>
      <c r="AG719" s="77">
        <v>0</v>
      </c>
      <c r="AH719" s="77"/>
      <c r="AI719" s="77">
        <f t="shared" si="30"/>
        <v>3675942</v>
      </c>
      <c r="AJ719" s="24"/>
      <c r="AK719" s="15" t="str">
        <f>'Gen Rev'!A719</f>
        <v>Yellow Springs</v>
      </c>
      <c r="AL719" s="15" t="str">
        <f t="shared" si="31"/>
        <v>Yellow Springs</v>
      </c>
      <c r="AM719" s="15" t="b">
        <f t="shared" si="32"/>
        <v>1</v>
      </c>
    </row>
    <row r="720" spans="1:42" ht="12" customHeight="1" x14ac:dyDescent="0.2">
      <c r="A720" s="15" t="s">
        <v>340</v>
      </c>
      <c r="C720" s="15" t="s">
        <v>329</v>
      </c>
      <c r="E720" s="77">
        <v>1421</v>
      </c>
      <c r="F720" s="77"/>
      <c r="G720" s="77">
        <v>0</v>
      </c>
      <c r="H720" s="77"/>
      <c r="I720" s="77">
        <v>40491</v>
      </c>
      <c r="J720" s="77"/>
      <c r="K720" s="77">
        <v>603</v>
      </c>
      <c r="L720" s="77"/>
      <c r="M720" s="77">
        <v>0</v>
      </c>
      <c r="N720" s="77"/>
      <c r="O720" s="77">
        <v>1772</v>
      </c>
      <c r="P720" s="77"/>
      <c r="Q720" s="77">
        <v>300</v>
      </c>
      <c r="R720" s="77"/>
      <c r="S720" s="77">
        <v>1476</v>
      </c>
      <c r="T720" s="77"/>
      <c r="U720" s="77">
        <v>0</v>
      </c>
      <c r="V720" s="77"/>
      <c r="W720" s="77">
        <v>0</v>
      </c>
      <c r="X720" s="77"/>
      <c r="Y720" s="77">
        <v>0</v>
      </c>
      <c r="Z720" s="77"/>
      <c r="AA720" s="77">
        <v>0</v>
      </c>
      <c r="AB720" s="77"/>
      <c r="AC720" s="77">
        <v>0</v>
      </c>
      <c r="AD720" s="77"/>
      <c r="AE720" s="77">
        <v>50122</v>
      </c>
      <c r="AF720" s="77"/>
      <c r="AG720" s="77">
        <v>0</v>
      </c>
      <c r="AH720" s="77"/>
      <c r="AI720" s="77">
        <f t="shared" si="30"/>
        <v>96185</v>
      </c>
      <c r="AJ720" s="24"/>
      <c r="AK720" s="15" t="str">
        <f>'Gen Rev'!A720</f>
        <v>Yorkshire</v>
      </c>
      <c r="AL720" s="15" t="str">
        <f t="shared" si="31"/>
        <v>Yorkshire</v>
      </c>
      <c r="AM720" s="15" t="b">
        <f t="shared" si="32"/>
        <v>1</v>
      </c>
      <c r="AN720" s="30"/>
      <c r="AO720" s="30"/>
      <c r="AP720" s="30"/>
    </row>
    <row r="721" spans="1:42" ht="12" customHeight="1" x14ac:dyDescent="0.2">
      <c r="A721" s="15" t="s">
        <v>425</v>
      </c>
      <c r="C721" s="15" t="s">
        <v>420</v>
      </c>
      <c r="E721" s="77">
        <f>95560+19025+172661</f>
        <v>287246</v>
      </c>
      <c r="F721" s="77"/>
      <c r="G721" s="77">
        <v>0</v>
      </c>
      <c r="H721" s="77"/>
      <c r="I721" s="77">
        <v>51164</v>
      </c>
      <c r="J721" s="77"/>
      <c r="K721" s="77">
        <v>0</v>
      </c>
      <c r="L721" s="77"/>
      <c r="M721" s="77">
        <v>0</v>
      </c>
      <c r="N721" s="77"/>
      <c r="O721" s="77">
        <v>10358</v>
      </c>
      <c r="P721" s="77"/>
      <c r="Q721" s="77">
        <v>0</v>
      </c>
      <c r="R721" s="77"/>
      <c r="S721" s="77">
        <v>19415</v>
      </c>
      <c r="T721" s="77"/>
      <c r="U721" s="77">
        <v>0</v>
      </c>
      <c r="V721" s="77"/>
      <c r="W721" s="77">
        <v>0</v>
      </c>
      <c r="X721" s="77"/>
      <c r="Y721" s="77">
        <v>0</v>
      </c>
      <c r="Z721" s="77"/>
      <c r="AA721" s="77">
        <v>0</v>
      </c>
      <c r="AB721" s="77"/>
      <c r="AC721" s="77">
        <v>20</v>
      </c>
      <c r="AD721" s="77"/>
      <c r="AE721" s="77">
        <v>0</v>
      </c>
      <c r="AF721" s="77"/>
      <c r="AG721" s="77">
        <v>0</v>
      </c>
      <c r="AH721" s="77"/>
      <c r="AI721" s="77">
        <f t="shared" si="30"/>
        <v>368203</v>
      </c>
      <c r="AJ721" s="24"/>
      <c r="AK721" s="15" t="str">
        <f>'Gen Rev'!A721</f>
        <v>Yorkville</v>
      </c>
      <c r="AL721" s="15" t="str">
        <f t="shared" si="31"/>
        <v>Yorkville</v>
      </c>
      <c r="AM721" s="15" t="b">
        <f t="shared" si="32"/>
        <v>1</v>
      </c>
    </row>
    <row r="722" spans="1:42" ht="12" customHeight="1" x14ac:dyDescent="0.2">
      <c r="A722" s="15" t="s">
        <v>578</v>
      </c>
      <c r="C722" s="15" t="s">
        <v>82</v>
      </c>
      <c r="E722" s="77">
        <v>24698</v>
      </c>
      <c r="F722" s="77"/>
      <c r="G722" s="77">
        <v>0</v>
      </c>
      <c r="H722" s="77"/>
      <c r="I722" s="77">
        <v>32391</v>
      </c>
      <c r="J722" s="77"/>
      <c r="K722" s="77">
        <v>0</v>
      </c>
      <c r="L722" s="77"/>
      <c r="M722" s="77">
        <v>9603</v>
      </c>
      <c r="N722" s="77"/>
      <c r="O722" s="77">
        <v>0</v>
      </c>
      <c r="P722" s="77"/>
      <c r="Q722" s="77">
        <v>226</v>
      </c>
      <c r="R722" s="77"/>
      <c r="S722" s="77">
        <v>1215</v>
      </c>
      <c r="T722" s="77"/>
      <c r="U722" s="77">
        <v>0</v>
      </c>
      <c r="V722" s="77"/>
      <c r="W722" s="77">
        <v>0</v>
      </c>
      <c r="X722" s="77"/>
      <c r="Y722" s="77">
        <v>0</v>
      </c>
      <c r="Z722" s="77"/>
      <c r="AA722" s="77">
        <v>0</v>
      </c>
      <c r="AB722" s="77"/>
      <c r="AC722" s="77">
        <v>0</v>
      </c>
      <c r="AD722" s="77"/>
      <c r="AE722" s="77">
        <v>0</v>
      </c>
      <c r="AF722" s="77"/>
      <c r="AG722" s="77">
        <v>0</v>
      </c>
      <c r="AH722" s="77"/>
      <c r="AI722" s="77">
        <f t="shared" si="30"/>
        <v>68133</v>
      </c>
      <c r="AJ722" s="24"/>
      <c r="AK722" s="15" t="str">
        <f>'Gen Rev'!A722</f>
        <v>Zaleski</v>
      </c>
      <c r="AL722" s="15" t="str">
        <f t="shared" si="31"/>
        <v>Zaleski</v>
      </c>
      <c r="AM722" s="15" t="b">
        <f t="shared" si="32"/>
        <v>1</v>
      </c>
    </row>
    <row r="723" spans="1:42" ht="12" customHeight="1" x14ac:dyDescent="0.2">
      <c r="A723" s="15" t="s">
        <v>449</v>
      </c>
      <c r="C723" s="15" t="s">
        <v>446</v>
      </c>
      <c r="E723" s="77">
        <v>7364</v>
      </c>
      <c r="F723" s="77"/>
      <c r="G723" s="77">
        <v>0</v>
      </c>
      <c r="H723" s="77"/>
      <c r="I723" s="77">
        <v>19231</v>
      </c>
      <c r="J723" s="77"/>
      <c r="K723" s="77">
        <v>0</v>
      </c>
      <c r="L723" s="77"/>
      <c r="M723" s="77">
        <v>0</v>
      </c>
      <c r="N723" s="77"/>
      <c r="O723" s="77">
        <v>0</v>
      </c>
      <c r="P723" s="77"/>
      <c r="Q723" s="77">
        <v>57</v>
      </c>
      <c r="R723" s="77"/>
      <c r="S723" s="77">
        <v>163</v>
      </c>
      <c r="T723" s="77"/>
      <c r="U723" s="77">
        <v>0</v>
      </c>
      <c r="V723" s="77"/>
      <c r="W723" s="77">
        <v>0</v>
      </c>
      <c r="X723" s="77"/>
      <c r="Y723" s="77">
        <v>0</v>
      </c>
      <c r="Z723" s="77"/>
      <c r="AA723" s="77">
        <v>0</v>
      </c>
      <c r="AB723" s="77"/>
      <c r="AC723" s="77">
        <v>0</v>
      </c>
      <c r="AD723" s="77"/>
      <c r="AE723" s="77">
        <v>0</v>
      </c>
      <c r="AF723" s="77"/>
      <c r="AG723" s="77">
        <v>0</v>
      </c>
      <c r="AH723" s="77"/>
      <c r="AI723" s="77">
        <f t="shared" si="30"/>
        <v>26815</v>
      </c>
      <c r="AJ723" s="24"/>
      <c r="AK723" s="15" t="str">
        <f>'Gen Rev'!A723</f>
        <v>Zanesfield</v>
      </c>
      <c r="AL723" s="15" t="str">
        <f t="shared" si="31"/>
        <v>Zanesfield</v>
      </c>
      <c r="AM723" s="15" t="b">
        <f t="shared" si="32"/>
        <v>1</v>
      </c>
    </row>
    <row r="724" spans="1:42" ht="12" customHeight="1" x14ac:dyDescent="0.2">
      <c r="A724" s="1" t="s">
        <v>235</v>
      </c>
      <c r="B724" s="1"/>
      <c r="C724" s="1" t="s">
        <v>806</v>
      </c>
      <c r="D724" s="24"/>
      <c r="E724" s="77">
        <v>42947.11</v>
      </c>
      <c r="F724" s="77"/>
      <c r="G724" s="77">
        <v>0</v>
      </c>
      <c r="H724" s="77"/>
      <c r="I724" s="77">
        <v>36312.17</v>
      </c>
      <c r="J724" s="77"/>
      <c r="K724" s="77">
        <v>0</v>
      </c>
      <c r="L724" s="77"/>
      <c r="M724" s="77">
        <v>1500</v>
      </c>
      <c r="N724" s="77"/>
      <c r="O724" s="77">
        <v>2020.35</v>
      </c>
      <c r="P724" s="77"/>
      <c r="Q724" s="77">
        <v>57.88</v>
      </c>
      <c r="R724" s="77"/>
      <c r="S724" s="77">
        <v>168.86</v>
      </c>
      <c r="T724" s="77"/>
      <c r="U724" s="77">
        <v>0</v>
      </c>
      <c r="V724" s="77"/>
      <c r="W724" s="77">
        <v>0</v>
      </c>
      <c r="X724" s="77"/>
      <c r="Y724" s="77">
        <v>0</v>
      </c>
      <c r="Z724" s="77"/>
      <c r="AA724" s="77">
        <v>0</v>
      </c>
      <c r="AB724" s="77"/>
      <c r="AC724" s="77">
        <v>0</v>
      </c>
      <c r="AD724" s="77"/>
      <c r="AE724" s="77">
        <v>0</v>
      </c>
      <c r="AF724" s="77"/>
      <c r="AG724" s="77">
        <v>0</v>
      </c>
      <c r="AH724" s="77"/>
      <c r="AI724" s="77">
        <f t="shared" si="30"/>
        <v>83006.37000000001</v>
      </c>
      <c r="AJ724" s="24"/>
      <c r="AK724" s="15" t="str">
        <f>'Gen Rev'!A724</f>
        <v>Zoar</v>
      </c>
      <c r="AL724" s="15" t="str">
        <f t="shared" si="31"/>
        <v>Zoar</v>
      </c>
      <c r="AM724" s="15" t="b">
        <f t="shared" si="32"/>
        <v>1</v>
      </c>
      <c r="AN724" s="29"/>
      <c r="AO724" s="29"/>
      <c r="AP724" s="29"/>
    </row>
    <row r="727" spans="1:42" x14ac:dyDescent="0.2">
      <c r="I727" s="89"/>
    </row>
  </sheetData>
  <sortState ref="A9:AP697">
    <sortCondition ref="A9:A703"/>
    <sortCondition ref="C9:C703"/>
  </sortState>
  <phoneticPr fontId="1" type="noConversion"/>
  <pageMargins left="0.75" right="0.5" top="0.5" bottom="0.5" header="0" footer="0.3"/>
  <pageSetup scale="80" firstPageNumber="50" fitToWidth="2" fitToHeight="14" pageOrder="overThenDown" orientation="portrait" useFirstPageNumber="1" horizontalDpi="300" verticalDpi="300" r:id="rId1"/>
  <headerFooter scaleWithDoc="0" alignWithMargins="0">
    <oddFooter>&amp;C&amp;P</oddFooter>
  </headerFooter>
  <rowBreaks count="9" manualBreakCount="9">
    <brk id="81" max="34" man="1"/>
    <brk id="158" max="34" man="1"/>
    <brk id="236" max="34" man="1"/>
    <brk id="310" max="34" man="1"/>
    <brk id="384" max="34" man="1"/>
    <brk id="458" max="34" man="1"/>
    <brk id="532" max="34" man="1"/>
    <brk id="606" max="34" man="1"/>
    <brk id="679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7"/>
  <sheetViews>
    <sheetView view="pageBreakPreview" zoomScale="85" zoomScaleNormal="100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:XFD4"/>
    </sheetView>
  </sheetViews>
  <sheetFormatPr defaultColWidth="9.33203125" defaultRowHeight="12" x14ac:dyDescent="0.2"/>
  <cols>
    <col min="1" max="1" width="20.83203125" style="15" customWidth="1"/>
    <col min="2" max="2" width="1.83203125" style="15" customWidth="1"/>
    <col min="3" max="3" width="14.33203125" style="15" customWidth="1"/>
    <col min="4" max="4" width="1.83203125" style="15" customWidth="1"/>
    <col min="5" max="5" width="12.6640625" style="24" customWidth="1"/>
    <col min="6" max="6" width="1.83203125" style="24" customWidth="1"/>
    <col min="7" max="7" width="12.6640625" style="24" customWidth="1"/>
    <col min="8" max="8" width="1.83203125" style="24" customWidth="1"/>
    <col min="9" max="9" width="11.83203125" style="24" customWidth="1"/>
    <col min="10" max="10" width="1.83203125" style="24" customWidth="1"/>
    <col min="11" max="11" width="13.1640625" style="24" customWidth="1"/>
    <col min="12" max="12" width="1.83203125" style="24" customWidth="1"/>
    <col min="13" max="13" width="11.83203125" style="24" customWidth="1"/>
    <col min="14" max="14" width="1.83203125" style="24" customWidth="1"/>
    <col min="15" max="15" width="13.5" style="24" customWidth="1"/>
    <col min="16" max="16" width="1.83203125" style="24" hidden="1" customWidth="1"/>
    <col min="17" max="17" width="16" style="24" customWidth="1"/>
    <col min="18" max="18" width="1.83203125" style="24" customWidth="1"/>
    <col min="19" max="19" width="12.16406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3" style="24" customWidth="1"/>
    <col min="24" max="24" width="1.83203125" style="24" customWidth="1"/>
    <col min="25" max="25" width="14.1640625" style="24" customWidth="1"/>
    <col min="26" max="26" width="1.83203125" style="24" customWidth="1"/>
    <col min="27" max="27" width="14.33203125" style="24" customWidth="1"/>
    <col min="28" max="28" width="1.83203125" style="24" customWidth="1"/>
    <col min="29" max="29" width="12.5" style="24" customWidth="1"/>
    <col min="30" max="30" width="1.83203125" style="24" customWidth="1"/>
    <col min="31" max="31" width="14.5" style="15" customWidth="1"/>
    <col min="32" max="32" width="1.83203125" style="15" customWidth="1"/>
    <col min="33" max="33" width="14" style="51" bestFit="1" customWidth="1"/>
    <col min="34" max="34" width="1.83203125" style="51" customWidth="1"/>
    <col min="35" max="35" width="12.83203125" style="51" bestFit="1" customWidth="1"/>
    <col min="36" max="36" width="1.83203125" style="51" customWidth="1"/>
    <col min="37" max="37" width="12.83203125" style="51" bestFit="1" customWidth="1"/>
    <col min="38" max="38" width="13.5" style="15" bestFit="1" customWidth="1"/>
    <col min="39" max="39" width="15.83203125" style="15" customWidth="1"/>
    <col min="40" max="16384" width="9.33203125" style="15"/>
  </cols>
  <sheetData>
    <row r="1" spans="1:41" ht="12.6" customHeight="1" x14ac:dyDescent="0.2">
      <c r="A1" s="15" t="s">
        <v>615</v>
      </c>
      <c r="AG1" s="51" t="s">
        <v>873</v>
      </c>
    </row>
    <row r="2" spans="1:41" ht="12.6" customHeight="1" x14ac:dyDescent="0.2">
      <c r="A2" s="15" t="s">
        <v>858</v>
      </c>
      <c r="AG2" s="51" t="s">
        <v>874</v>
      </c>
    </row>
    <row r="3" spans="1:41" ht="12.6" customHeight="1" x14ac:dyDescent="0.2">
      <c r="A3" s="15" t="s">
        <v>953</v>
      </c>
      <c r="AG3" s="51" t="s">
        <v>875</v>
      </c>
    </row>
    <row r="4" spans="1:41" ht="12.6" hidden="1" customHeight="1" x14ac:dyDescent="0.2">
      <c r="A4" s="15" t="s">
        <v>850</v>
      </c>
      <c r="E4" s="70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41" s="57" customFormat="1" ht="12.6" customHeight="1" x14ac:dyDescent="0.2">
      <c r="A5" s="53"/>
      <c r="B5" s="53"/>
      <c r="C5" s="53"/>
      <c r="D5" s="53"/>
      <c r="E5" s="58" t="s">
        <v>638</v>
      </c>
      <c r="F5" s="58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8" t="s">
        <v>654</v>
      </c>
      <c r="X5" s="58"/>
      <c r="Y5" s="55"/>
      <c r="Z5" s="55"/>
      <c r="AA5" s="55"/>
      <c r="AB5" s="55"/>
      <c r="AC5" s="54" t="s">
        <v>635</v>
      </c>
      <c r="AD5" s="54"/>
      <c r="AG5" s="42" t="s">
        <v>866</v>
      </c>
      <c r="AH5" s="42"/>
      <c r="AI5" s="42" t="s">
        <v>868</v>
      </c>
      <c r="AJ5" s="42"/>
      <c r="AK5" s="42" t="s">
        <v>871</v>
      </c>
      <c r="AL5" s="56"/>
    </row>
    <row r="6" spans="1:41" s="57" customFormat="1" ht="12.6" customHeight="1" x14ac:dyDescent="0.2">
      <c r="A6" s="53"/>
      <c r="B6" s="53"/>
      <c r="C6" s="53"/>
      <c r="D6" s="53"/>
      <c r="E6" s="58" t="s">
        <v>639</v>
      </c>
      <c r="F6" s="58"/>
      <c r="G6" s="58" t="s">
        <v>641</v>
      </c>
      <c r="H6" s="58"/>
      <c r="I6" s="58" t="s">
        <v>643</v>
      </c>
      <c r="J6" s="58"/>
      <c r="K6" s="58" t="s">
        <v>645</v>
      </c>
      <c r="L6" s="58"/>
      <c r="M6" s="58" t="s">
        <v>647</v>
      </c>
      <c r="N6" s="58"/>
      <c r="O6" s="55"/>
      <c r="P6" s="55"/>
      <c r="Q6" s="58" t="s">
        <v>648</v>
      </c>
      <c r="R6" s="58"/>
      <c r="S6" s="58" t="s">
        <v>650</v>
      </c>
      <c r="T6" s="58"/>
      <c r="U6" s="58" t="s">
        <v>652</v>
      </c>
      <c r="V6" s="58"/>
      <c r="W6" s="58" t="s">
        <v>655</v>
      </c>
      <c r="X6" s="58"/>
      <c r="Y6" s="66"/>
      <c r="Z6" s="66"/>
      <c r="AA6" s="55"/>
      <c r="AB6" s="55"/>
      <c r="AC6" s="54" t="s">
        <v>636</v>
      </c>
      <c r="AD6" s="54"/>
      <c r="AG6" s="42" t="s">
        <v>824</v>
      </c>
      <c r="AH6" s="42"/>
      <c r="AI6" s="42" t="s">
        <v>869</v>
      </c>
      <c r="AJ6" s="42"/>
      <c r="AK6" s="42" t="s">
        <v>872</v>
      </c>
      <c r="AL6" s="56"/>
    </row>
    <row r="7" spans="1:41" s="60" customFormat="1" ht="12.6" customHeight="1" x14ac:dyDescent="0.2">
      <c r="A7" s="59" t="s">
        <v>726</v>
      </c>
      <c r="C7" s="59" t="s">
        <v>727</v>
      </c>
      <c r="E7" s="65" t="s">
        <v>640</v>
      </c>
      <c r="F7" s="66"/>
      <c r="G7" s="65" t="s">
        <v>642</v>
      </c>
      <c r="H7" s="66"/>
      <c r="I7" s="65" t="s">
        <v>644</v>
      </c>
      <c r="J7" s="66"/>
      <c r="K7" s="65" t="s">
        <v>646</v>
      </c>
      <c r="L7" s="66"/>
      <c r="M7" s="65" t="s">
        <v>626</v>
      </c>
      <c r="N7" s="66"/>
      <c r="O7" s="72" t="s">
        <v>612</v>
      </c>
      <c r="P7" s="73"/>
      <c r="Q7" s="65" t="s">
        <v>649</v>
      </c>
      <c r="R7" s="66"/>
      <c r="S7" s="65" t="s">
        <v>651</v>
      </c>
      <c r="T7" s="66"/>
      <c r="U7" s="65" t="s">
        <v>653</v>
      </c>
      <c r="V7" s="66"/>
      <c r="W7" s="65" t="s">
        <v>656</v>
      </c>
      <c r="X7" s="66"/>
      <c r="Y7" s="65" t="s">
        <v>614</v>
      </c>
      <c r="Z7" s="66"/>
      <c r="AA7" s="65" t="s">
        <v>657</v>
      </c>
      <c r="AB7" s="66"/>
      <c r="AC7" s="27" t="s">
        <v>658</v>
      </c>
      <c r="AD7" s="42"/>
      <c r="AE7" s="59" t="s">
        <v>815</v>
      </c>
      <c r="AG7" s="61"/>
      <c r="AH7" s="62"/>
      <c r="AI7" s="61" t="s">
        <v>870</v>
      </c>
      <c r="AJ7" s="62"/>
      <c r="AK7" s="61" t="s">
        <v>865</v>
      </c>
      <c r="AL7" s="59" t="s">
        <v>864</v>
      </c>
    </row>
    <row r="8" spans="1:41" s="60" customFormat="1" ht="12" customHeight="1" x14ac:dyDescent="0.2">
      <c r="E8" s="66"/>
      <c r="F8" s="66"/>
      <c r="G8" s="66"/>
      <c r="H8" s="66"/>
      <c r="I8" s="66"/>
      <c r="J8" s="66"/>
      <c r="K8" s="66"/>
      <c r="L8" s="66"/>
      <c r="M8" s="66"/>
      <c r="N8" s="66"/>
      <c r="O8" s="73"/>
      <c r="P8" s="73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42"/>
      <c r="AD8" s="42"/>
      <c r="AE8" s="86"/>
      <c r="AG8" s="62"/>
      <c r="AH8" s="62"/>
      <c r="AI8" s="62"/>
      <c r="AJ8" s="62"/>
      <c r="AK8" s="62"/>
      <c r="AL8" s="37"/>
      <c r="AM8" s="15"/>
      <c r="AN8" s="15"/>
      <c r="AO8" s="15"/>
    </row>
    <row r="9" spans="1:41" ht="12" customHeight="1" x14ac:dyDescent="0.2">
      <c r="A9" s="1" t="s">
        <v>282</v>
      </c>
      <c r="B9" s="1"/>
      <c r="C9" s="1" t="s">
        <v>283</v>
      </c>
      <c r="E9" s="91">
        <v>270275.32</v>
      </c>
      <c r="G9" s="37">
        <v>0</v>
      </c>
      <c r="H9" s="37"/>
      <c r="I9" s="37">
        <v>3589.74</v>
      </c>
      <c r="J9" s="37"/>
      <c r="K9" s="37">
        <v>0</v>
      </c>
      <c r="L9" s="37"/>
      <c r="M9" s="37">
        <v>116049.60000000001</v>
      </c>
      <c r="N9" s="37"/>
      <c r="O9" s="37">
        <v>63037.37</v>
      </c>
      <c r="P9" s="37"/>
      <c r="Q9" s="37">
        <v>101152.38</v>
      </c>
      <c r="R9" s="37"/>
      <c r="S9" s="37">
        <v>57506.69</v>
      </c>
      <c r="T9" s="37"/>
      <c r="U9" s="37">
        <v>0</v>
      </c>
      <c r="V9" s="37"/>
      <c r="W9" s="37">
        <v>187245</v>
      </c>
      <c r="X9" s="37"/>
      <c r="Y9" s="37">
        <v>0</v>
      </c>
      <c r="Z9" s="37"/>
      <c r="AA9" s="37">
        <v>0</v>
      </c>
      <c r="AB9" s="37"/>
      <c r="AC9" s="37">
        <v>0</v>
      </c>
      <c r="AD9" s="37"/>
      <c r="AE9" s="37">
        <f>SUM(E9:AC9)</f>
        <v>798856.10000000009</v>
      </c>
      <c r="AF9" s="37"/>
      <c r="AG9" s="37">
        <v>-52058.69</v>
      </c>
      <c r="AH9" s="37"/>
      <c r="AI9" s="37">
        <v>2868106.2</v>
      </c>
      <c r="AJ9" s="37"/>
      <c r="AK9" s="37">
        <v>2816047.51</v>
      </c>
      <c r="AL9" s="24">
        <f>+'Gov Rev'!AI9-'Gov Exp'!AE9+'Gov Exp'!AI9-'Gov Exp'!AK9</f>
        <v>0</v>
      </c>
      <c r="AM9" s="15" t="str">
        <f>'Gov Rev'!A9</f>
        <v>Aberdeen</v>
      </c>
      <c r="AN9" s="15" t="str">
        <f t="shared" ref="AN9:AN71" si="0">A9</f>
        <v>Aberdeen</v>
      </c>
      <c r="AO9" s="15" t="b">
        <f t="shared" ref="AO9:AO71" si="1">AM9=AN9</f>
        <v>1</v>
      </c>
    </row>
    <row r="10" spans="1:41" s="31" customFormat="1" ht="12" customHeight="1" x14ac:dyDescent="0.2">
      <c r="A10" s="37" t="s">
        <v>395</v>
      </c>
      <c r="B10" s="37"/>
      <c r="C10" s="37" t="s">
        <v>396</v>
      </c>
      <c r="D10" s="37"/>
      <c r="E10" s="24">
        <v>712323</v>
      </c>
      <c r="F10" s="24"/>
      <c r="G10" s="24">
        <v>22614</v>
      </c>
      <c r="H10" s="24"/>
      <c r="I10" s="24">
        <v>122419</v>
      </c>
      <c r="J10" s="24"/>
      <c r="K10" s="24">
        <v>19842</v>
      </c>
      <c r="L10" s="24"/>
      <c r="M10" s="24">
        <v>0</v>
      </c>
      <c r="N10" s="24"/>
      <c r="O10" s="24">
        <v>398618</v>
      </c>
      <c r="P10" s="24"/>
      <c r="Q10" s="24">
        <v>215084</v>
      </c>
      <c r="R10" s="24"/>
      <c r="S10" s="24">
        <v>1501971</v>
      </c>
      <c r="T10" s="24"/>
      <c r="U10" s="24">
        <v>161905</v>
      </c>
      <c r="V10" s="24"/>
      <c r="W10" s="24">
        <v>0</v>
      </c>
      <c r="X10" s="24"/>
      <c r="Y10" s="24">
        <v>0</v>
      </c>
      <c r="Z10" s="24"/>
      <c r="AA10" s="24">
        <v>0</v>
      </c>
      <c r="AB10" s="24"/>
      <c r="AC10" s="24">
        <v>955985</v>
      </c>
      <c r="AD10" s="24"/>
      <c r="AE10" s="24">
        <f t="shared" ref="AE10:AE71" si="2">SUM(E10:AC10)</f>
        <v>4110761</v>
      </c>
      <c r="AF10" s="24"/>
      <c r="AG10" s="24">
        <v>297867</v>
      </c>
      <c r="AH10" s="24"/>
      <c r="AI10" s="24">
        <v>1383561</v>
      </c>
      <c r="AJ10" s="24"/>
      <c r="AK10" s="24">
        <v>1681428</v>
      </c>
      <c r="AL10" s="24">
        <f>+'Gov Rev'!AI10-'Gov Exp'!AE10+'Gov Exp'!AI10-'Gov Exp'!AK10</f>
        <v>0</v>
      </c>
      <c r="AM10" s="15" t="str">
        <f>'Gov Rev'!A10</f>
        <v>Ada</v>
      </c>
      <c r="AN10" s="15" t="str">
        <f t="shared" si="0"/>
        <v>Ada</v>
      </c>
      <c r="AO10" s="15" t="b">
        <f t="shared" si="1"/>
        <v>1</v>
      </c>
    </row>
    <row r="11" spans="1:41" ht="12" customHeight="1" x14ac:dyDescent="0.2">
      <c r="A11" s="15" t="s">
        <v>483</v>
      </c>
      <c r="C11" s="15" t="s">
        <v>484</v>
      </c>
      <c r="E11" s="24">
        <v>800</v>
      </c>
      <c r="G11" s="24">
        <v>0</v>
      </c>
      <c r="I11" s="24">
        <v>0</v>
      </c>
      <c r="K11" s="24">
        <v>100</v>
      </c>
      <c r="M11" s="24">
        <v>2700</v>
      </c>
      <c r="O11" s="24">
        <v>3762</v>
      </c>
      <c r="Q11" s="24">
        <v>6593</v>
      </c>
      <c r="S11" s="24">
        <v>0</v>
      </c>
      <c r="U11" s="24">
        <v>0</v>
      </c>
      <c r="W11" s="24">
        <v>0</v>
      </c>
      <c r="Y11" s="24">
        <v>0</v>
      </c>
      <c r="AA11" s="24">
        <v>0</v>
      </c>
      <c r="AC11" s="24">
        <v>0</v>
      </c>
      <c r="AE11" s="24">
        <f t="shared" si="2"/>
        <v>13955</v>
      </c>
      <c r="AF11" s="24"/>
      <c r="AG11" s="24">
        <f>5353+4892</f>
        <v>10245</v>
      </c>
      <c r="AH11" s="24"/>
      <c r="AI11" s="24">
        <f>6744+33812</f>
        <v>40556</v>
      </c>
      <c r="AJ11" s="24"/>
      <c r="AK11" s="24">
        <f>12097+38704</f>
        <v>50801</v>
      </c>
      <c r="AL11" s="24">
        <f>+'Gov Rev'!AI11-'Gov Exp'!AE11+'Gov Exp'!AI11-'Gov Exp'!AK11</f>
        <v>0</v>
      </c>
      <c r="AM11" s="15" t="str">
        <f>'Gov Rev'!A11</f>
        <v>Adamsville</v>
      </c>
      <c r="AN11" s="15" t="str">
        <f t="shared" si="0"/>
        <v>Adamsville</v>
      </c>
      <c r="AO11" s="15" t="b">
        <f t="shared" si="1"/>
        <v>1</v>
      </c>
    </row>
    <row r="12" spans="1:41" s="31" customFormat="1" ht="12" customHeight="1" x14ac:dyDescent="0.2">
      <c r="A12" s="1" t="s">
        <v>91</v>
      </c>
      <c r="B12" s="1"/>
      <c r="C12" s="1" t="s">
        <v>763</v>
      </c>
      <c r="D12" s="15"/>
      <c r="E12" s="24">
        <v>273965.21000000002</v>
      </c>
      <c r="F12" s="24"/>
      <c r="G12" s="24">
        <v>0</v>
      </c>
      <c r="H12" s="24"/>
      <c r="I12" s="24">
        <v>14710.32</v>
      </c>
      <c r="J12" s="24"/>
      <c r="K12" s="24">
        <v>0</v>
      </c>
      <c r="L12" s="24"/>
      <c r="M12" s="24">
        <v>11769.79</v>
      </c>
      <c r="N12" s="24"/>
      <c r="O12" s="24">
        <v>156422.20000000001</v>
      </c>
      <c r="P12" s="24"/>
      <c r="Q12" s="24">
        <v>263107.38</v>
      </c>
      <c r="R12" s="24"/>
      <c r="S12" s="24">
        <v>73220.98</v>
      </c>
      <c r="T12" s="24"/>
      <c r="U12" s="24">
        <v>13101.18</v>
      </c>
      <c r="V12" s="24"/>
      <c r="W12" s="24">
        <v>1345</v>
      </c>
      <c r="X12" s="24"/>
      <c r="Y12" s="24">
        <v>0</v>
      </c>
      <c r="Z12" s="24"/>
      <c r="AA12" s="24">
        <v>12000</v>
      </c>
      <c r="AB12" s="24"/>
      <c r="AC12" s="24">
        <v>51289.11</v>
      </c>
      <c r="AD12" s="24"/>
      <c r="AE12" s="24">
        <f t="shared" si="2"/>
        <v>870931.17</v>
      </c>
      <c r="AF12" s="24"/>
      <c r="AG12" s="24">
        <v>-7367.38</v>
      </c>
      <c r="AH12" s="24"/>
      <c r="AI12" s="24">
        <v>56410.51</v>
      </c>
      <c r="AJ12" s="24"/>
      <c r="AK12" s="24">
        <v>49043.13</v>
      </c>
      <c r="AL12" s="24">
        <f>+'Gov Rev'!AI12-'Gov Exp'!AE12+'Gov Exp'!AI12-'Gov Exp'!AK12</f>
        <v>0</v>
      </c>
      <c r="AM12" s="15" t="str">
        <f>'Gov Rev'!A12</f>
        <v>Addyston</v>
      </c>
      <c r="AN12" s="15" t="str">
        <f t="shared" si="0"/>
        <v>Addyston</v>
      </c>
      <c r="AO12" s="15" t="b">
        <f t="shared" si="1"/>
        <v>1</v>
      </c>
    </row>
    <row r="13" spans="1:41" s="31" customFormat="1" ht="12" customHeight="1" x14ac:dyDescent="0.2">
      <c r="A13" s="1" t="s">
        <v>210</v>
      </c>
      <c r="B13" s="1"/>
      <c r="C13" s="1" t="s">
        <v>799</v>
      </c>
      <c r="D13" s="15"/>
      <c r="E13" s="24">
        <v>18405.12</v>
      </c>
      <c r="F13" s="24"/>
      <c r="G13" s="24">
        <v>0</v>
      </c>
      <c r="H13" s="24"/>
      <c r="I13" s="24">
        <v>0</v>
      </c>
      <c r="J13" s="24"/>
      <c r="K13" s="24">
        <v>0</v>
      </c>
      <c r="L13" s="24"/>
      <c r="M13" s="24">
        <v>0</v>
      </c>
      <c r="N13" s="24"/>
      <c r="O13" s="24">
        <v>6499.36</v>
      </c>
      <c r="P13" s="24"/>
      <c r="Q13" s="24">
        <v>46184.65</v>
      </c>
      <c r="R13" s="24"/>
      <c r="S13" s="24">
        <v>1930.85</v>
      </c>
      <c r="T13" s="24"/>
      <c r="U13" s="24">
        <v>0</v>
      </c>
      <c r="V13" s="24"/>
      <c r="W13" s="24">
        <v>0</v>
      </c>
      <c r="X13" s="24"/>
      <c r="Y13" s="24">
        <v>0</v>
      </c>
      <c r="Z13" s="24"/>
      <c r="AA13" s="24">
        <v>0</v>
      </c>
      <c r="AB13" s="24"/>
      <c r="AC13" s="24">
        <v>0</v>
      </c>
      <c r="AD13" s="24"/>
      <c r="AE13" s="24">
        <f t="shared" si="2"/>
        <v>73019.98000000001</v>
      </c>
      <c r="AF13" s="24"/>
      <c r="AG13" s="24">
        <v>12965.81</v>
      </c>
      <c r="AH13" s="24"/>
      <c r="AI13" s="24">
        <v>28400.58</v>
      </c>
      <c r="AJ13" s="24"/>
      <c r="AK13" s="24">
        <v>41366.39</v>
      </c>
      <c r="AL13" s="24">
        <f>+'Gov Rev'!AI13-'Gov Exp'!AE13+'Gov Exp'!AI13-'Gov Exp'!AK13</f>
        <v>0</v>
      </c>
      <c r="AM13" s="15" t="str">
        <f>'Gov Rev'!A13</f>
        <v>Adelphi</v>
      </c>
      <c r="AN13" s="15" t="str">
        <f t="shared" si="0"/>
        <v>Adelphi</v>
      </c>
      <c r="AO13" s="15" t="b">
        <f t="shared" si="1"/>
        <v>1</v>
      </c>
    </row>
    <row r="14" spans="1:41" s="29" customFormat="1" ht="12" customHeight="1" x14ac:dyDescent="0.2">
      <c r="A14" s="15" t="s">
        <v>876</v>
      </c>
      <c r="B14" s="15"/>
      <c r="C14" s="15" t="s">
        <v>420</v>
      </c>
      <c r="D14" s="28"/>
      <c r="E14" s="24">
        <v>72685</v>
      </c>
      <c r="F14" s="24"/>
      <c r="G14" s="24">
        <v>59</v>
      </c>
      <c r="H14" s="24"/>
      <c r="I14" s="24">
        <v>10209</v>
      </c>
      <c r="J14" s="24"/>
      <c r="K14" s="24">
        <v>5526</v>
      </c>
      <c r="L14" s="24"/>
      <c r="M14" s="24">
        <v>0</v>
      </c>
      <c r="N14" s="24"/>
      <c r="O14" s="24">
        <v>45165</v>
      </c>
      <c r="P14" s="24"/>
      <c r="Q14" s="24">
        <v>83452</v>
      </c>
      <c r="R14" s="24"/>
      <c r="S14" s="24">
        <v>0</v>
      </c>
      <c r="T14" s="24"/>
      <c r="U14" s="24">
        <v>81009</v>
      </c>
      <c r="V14" s="24"/>
      <c r="W14" s="24">
        <v>0</v>
      </c>
      <c r="X14" s="24"/>
      <c r="Y14" s="24">
        <v>0</v>
      </c>
      <c r="Z14" s="24"/>
      <c r="AA14" s="24">
        <v>0</v>
      </c>
      <c r="AB14" s="24"/>
      <c r="AC14" s="24">
        <v>0</v>
      </c>
      <c r="AD14" s="24"/>
      <c r="AE14" s="24">
        <f t="shared" si="2"/>
        <v>298105</v>
      </c>
      <c r="AF14" s="24"/>
      <c r="AG14" s="24">
        <v>-17364</v>
      </c>
      <c r="AH14" s="24"/>
      <c r="AI14" s="24">
        <v>127620</v>
      </c>
      <c r="AJ14" s="24"/>
      <c r="AK14" s="24">
        <v>110256</v>
      </c>
      <c r="AL14" s="24">
        <f>+'Gov Rev'!AI14-'Gov Exp'!AE14+'Gov Exp'!AI14-'Gov Exp'!AK14</f>
        <v>0</v>
      </c>
      <c r="AM14" s="15" t="str">
        <f>'Gov Rev'!A14</f>
        <v>Adena</v>
      </c>
      <c r="AN14" s="15" t="str">
        <f t="shared" si="0"/>
        <v>Adena</v>
      </c>
      <c r="AO14" s="15" t="b">
        <f t="shared" si="1"/>
        <v>1</v>
      </c>
    </row>
    <row r="15" spans="1:41" ht="12" customHeight="1" x14ac:dyDescent="0.2">
      <c r="A15" s="1" t="s">
        <v>270</v>
      </c>
      <c r="B15" s="1"/>
      <c r="C15" s="1" t="s">
        <v>271</v>
      </c>
      <c r="E15" s="24">
        <v>62051.7</v>
      </c>
      <c r="G15" s="24">
        <v>0</v>
      </c>
      <c r="I15" s="24">
        <v>667.9</v>
      </c>
      <c r="K15" s="24">
        <v>0</v>
      </c>
      <c r="M15" s="24">
        <v>5027.17</v>
      </c>
      <c r="O15" s="24">
        <v>44620.12</v>
      </c>
      <c r="Q15" s="24">
        <v>82885.73</v>
      </c>
      <c r="S15" s="24">
        <v>0</v>
      </c>
      <c r="U15" s="24">
        <v>0</v>
      </c>
      <c r="W15" s="24">
        <v>0</v>
      </c>
      <c r="Y15" s="24">
        <v>12502.36</v>
      </c>
      <c r="AA15" s="24">
        <v>10000</v>
      </c>
      <c r="AC15" s="24">
        <v>0</v>
      </c>
      <c r="AE15" s="24">
        <f t="shared" si="2"/>
        <v>217754.97999999998</v>
      </c>
      <c r="AF15" s="24"/>
      <c r="AG15" s="24">
        <v>10010.219999999999</v>
      </c>
      <c r="AH15" s="24"/>
      <c r="AI15" s="24">
        <v>202058.6</v>
      </c>
      <c r="AJ15" s="24"/>
      <c r="AK15" s="24">
        <v>212068.82</v>
      </c>
      <c r="AL15" s="24">
        <f>+'Gov Rev'!AI15-'Gov Exp'!AE15+'Gov Exp'!AI15-'Gov Exp'!AK15</f>
        <v>0</v>
      </c>
      <c r="AM15" s="15" t="str">
        <f>'Gov Rev'!A15</f>
        <v>Albany</v>
      </c>
      <c r="AN15" s="15" t="str">
        <f t="shared" si="0"/>
        <v>Albany</v>
      </c>
      <c r="AO15" s="15" t="b">
        <f t="shared" si="1"/>
        <v>1</v>
      </c>
    </row>
    <row r="16" spans="1:41" ht="12" customHeight="1" x14ac:dyDescent="0.2">
      <c r="A16" s="1" t="s">
        <v>129</v>
      </c>
      <c r="B16" s="1"/>
      <c r="C16" s="1" t="s">
        <v>774</v>
      </c>
      <c r="D16" s="28"/>
      <c r="E16" s="24">
        <v>12932.08</v>
      </c>
      <c r="G16" s="24">
        <v>0</v>
      </c>
      <c r="I16" s="24">
        <v>1442.9</v>
      </c>
      <c r="K16" s="24">
        <v>485.37</v>
      </c>
      <c r="M16" s="24">
        <v>0</v>
      </c>
      <c r="O16" s="24">
        <v>14473.49</v>
      </c>
      <c r="Q16" s="24">
        <v>69594.2</v>
      </c>
      <c r="S16" s="24">
        <v>108600.76</v>
      </c>
      <c r="U16" s="24">
        <v>3281.1</v>
      </c>
      <c r="W16" s="24">
        <v>1941.27</v>
      </c>
      <c r="Y16" s="24">
        <v>0</v>
      </c>
      <c r="AA16" s="24">
        <v>0</v>
      </c>
      <c r="AC16" s="24">
        <v>0</v>
      </c>
      <c r="AE16" s="24">
        <f t="shared" si="2"/>
        <v>212751.16999999998</v>
      </c>
      <c r="AF16" s="24"/>
      <c r="AG16" s="24">
        <v>-13061.04</v>
      </c>
      <c r="AH16" s="24"/>
      <c r="AI16" s="24">
        <v>54889.02</v>
      </c>
      <c r="AJ16" s="24"/>
      <c r="AK16" s="24">
        <v>41827.980000000003</v>
      </c>
      <c r="AL16" s="24">
        <f>+'Gov Rev'!AI16-'Gov Exp'!AE16+'Gov Exp'!AI16-'Gov Exp'!AK16</f>
        <v>0</v>
      </c>
      <c r="AM16" s="15" t="str">
        <f>'Gov Rev'!A16</f>
        <v>Alexandria</v>
      </c>
      <c r="AN16" s="15" t="str">
        <f t="shared" si="0"/>
        <v>Alexandria</v>
      </c>
      <c r="AO16" s="15" t="b">
        <f t="shared" si="1"/>
        <v>1</v>
      </c>
    </row>
    <row r="17" spans="1:41" s="31" customFormat="1" ht="12" customHeight="1" x14ac:dyDescent="0.2">
      <c r="A17" s="1" t="s">
        <v>704</v>
      </c>
      <c r="B17" s="1"/>
      <c r="C17" s="1" t="s">
        <v>396</v>
      </c>
      <c r="D17" s="15"/>
      <c r="E17" s="24">
        <v>17101.11</v>
      </c>
      <c r="F17" s="24"/>
      <c r="G17" s="24">
        <v>3130</v>
      </c>
      <c r="H17" s="24"/>
      <c r="I17" s="24">
        <v>4375.6400000000003</v>
      </c>
      <c r="J17" s="24"/>
      <c r="K17" s="24">
        <v>0</v>
      </c>
      <c r="L17" s="24"/>
      <c r="M17" s="24">
        <v>0</v>
      </c>
      <c r="N17" s="24"/>
      <c r="O17" s="24">
        <v>30937.86</v>
      </c>
      <c r="P17" s="24"/>
      <c r="Q17" s="24">
        <v>73722.22</v>
      </c>
      <c r="R17" s="24"/>
      <c r="S17" s="24">
        <v>17934.86</v>
      </c>
      <c r="T17" s="24"/>
      <c r="U17" s="24">
        <v>0</v>
      </c>
      <c r="V17" s="24"/>
      <c r="W17" s="24">
        <v>0</v>
      </c>
      <c r="X17" s="24"/>
      <c r="Y17" s="24">
        <v>0</v>
      </c>
      <c r="Z17" s="24"/>
      <c r="AA17" s="24">
        <v>0</v>
      </c>
      <c r="AB17" s="24"/>
      <c r="AC17" s="24">
        <v>0</v>
      </c>
      <c r="AD17" s="24"/>
      <c r="AE17" s="24">
        <f t="shared" si="2"/>
        <v>147201.69</v>
      </c>
      <c r="AF17" s="24"/>
      <c r="AG17" s="24">
        <v>15811.37</v>
      </c>
      <c r="AH17" s="24"/>
      <c r="AI17" s="24">
        <v>220485.46</v>
      </c>
      <c r="AJ17" s="24"/>
      <c r="AK17" s="24">
        <v>236296.83</v>
      </c>
      <c r="AL17" s="24">
        <f>+'Gov Rev'!AI17-'Gov Exp'!AE17+'Gov Exp'!AI17-'Gov Exp'!AK17</f>
        <v>0</v>
      </c>
      <c r="AM17" s="15" t="str">
        <f>'Gov Rev'!A17</f>
        <v>Alger</v>
      </c>
      <c r="AN17" s="15" t="str">
        <f t="shared" si="0"/>
        <v>Alger</v>
      </c>
      <c r="AO17" s="15" t="b">
        <f t="shared" si="1"/>
        <v>1</v>
      </c>
    </row>
    <row r="18" spans="1:41" s="31" customFormat="1" ht="12" hidden="1" customHeight="1" x14ac:dyDescent="0.2">
      <c r="A18" s="1" t="s">
        <v>251</v>
      </c>
      <c r="B18" s="1"/>
      <c r="C18" s="1" t="s">
        <v>596</v>
      </c>
      <c r="D18" s="1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>
        <f t="shared" si="2"/>
        <v>0</v>
      </c>
      <c r="AF18" s="24"/>
      <c r="AG18" s="24"/>
      <c r="AH18" s="24"/>
      <c r="AI18" s="24"/>
      <c r="AJ18" s="24"/>
      <c r="AK18" s="24"/>
      <c r="AL18" s="24">
        <f>+'Gov Rev'!AI18-'Gov Exp'!AE18+'Gov Exp'!AI18-'Gov Exp'!AK18</f>
        <v>0</v>
      </c>
      <c r="AM18" s="15" t="str">
        <f>'Gov Rev'!A18</f>
        <v>Alvordton</v>
      </c>
      <c r="AN18" s="15" t="str">
        <f t="shared" si="0"/>
        <v>Alvordton</v>
      </c>
      <c r="AO18" s="15" t="b">
        <f t="shared" si="1"/>
        <v>1</v>
      </c>
    </row>
    <row r="19" spans="1:41" ht="12" customHeight="1" x14ac:dyDescent="0.2">
      <c r="A19" s="1" t="s">
        <v>665</v>
      </c>
      <c r="B19" s="1"/>
      <c r="C19" s="1" t="s">
        <v>350</v>
      </c>
      <c r="E19" s="24">
        <v>27555.67</v>
      </c>
      <c r="G19" s="24">
        <v>0</v>
      </c>
      <c r="I19" s="24">
        <v>2362.61</v>
      </c>
      <c r="K19" s="24">
        <v>0</v>
      </c>
      <c r="M19" s="24">
        <v>53936.46</v>
      </c>
      <c r="O19" s="24">
        <v>102820.94</v>
      </c>
      <c r="Q19" s="24">
        <v>46865.13</v>
      </c>
      <c r="S19" s="24">
        <v>0</v>
      </c>
      <c r="U19" s="24">
        <v>0</v>
      </c>
      <c r="W19" s="24">
        <v>0</v>
      </c>
      <c r="Y19" s="24">
        <v>0</v>
      </c>
      <c r="AA19" s="24">
        <v>0</v>
      </c>
      <c r="AC19" s="24">
        <v>0</v>
      </c>
      <c r="AE19" s="24">
        <f t="shared" si="2"/>
        <v>233540.81</v>
      </c>
      <c r="AF19" s="24"/>
      <c r="AG19" s="24">
        <v>-31579.25</v>
      </c>
      <c r="AH19" s="24"/>
      <c r="AI19" s="24">
        <v>142618.85</v>
      </c>
      <c r="AJ19" s="24"/>
      <c r="AK19" s="24">
        <v>111039.6</v>
      </c>
      <c r="AL19" s="24">
        <f>+'Gov Rev'!AI19-'Gov Exp'!AE19+'Gov Exp'!AI19-'Gov Exp'!AK19</f>
        <v>0</v>
      </c>
      <c r="AM19" s="15" t="str">
        <f>'Gov Rev'!A19</f>
        <v>Amanda</v>
      </c>
      <c r="AN19" s="15" t="str">
        <f t="shared" si="0"/>
        <v>Amanda</v>
      </c>
      <c r="AO19" s="15" t="b">
        <f t="shared" si="1"/>
        <v>1</v>
      </c>
    </row>
    <row r="20" spans="1:41" s="31" customFormat="1" ht="12" customHeight="1" x14ac:dyDescent="0.2">
      <c r="A20" s="15" t="s">
        <v>377</v>
      </c>
      <c r="B20" s="15"/>
      <c r="C20" s="15" t="s">
        <v>378</v>
      </c>
      <c r="D20" s="15"/>
      <c r="E20" s="24">
        <v>2803599</v>
      </c>
      <c r="F20" s="24"/>
      <c r="G20" s="24">
        <v>130343</v>
      </c>
      <c r="H20" s="24"/>
      <c r="I20" s="24">
        <v>11769</v>
      </c>
      <c r="J20" s="24"/>
      <c r="K20" s="24">
        <v>50185</v>
      </c>
      <c r="L20" s="24"/>
      <c r="M20" s="24">
        <v>217935</v>
      </c>
      <c r="N20" s="24"/>
      <c r="O20" s="24">
        <v>711692</v>
      </c>
      <c r="P20" s="24"/>
      <c r="Q20" s="24">
        <v>951601</v>
      </c>
      <c r="R20" s="24"/>
      <c r="S20" s="24">
        <v>6677987</v>
      </c>
      <c r="T20" s="24"/>
      <c r="U20" s="24">
        <v>0</v>
      </c>
      <c r="V20" s="24"/>
      <c r="W20" s="24">
        <v>0</v>
      </c>
      <c r="X20" s="24"/>
      <c r="Y20" s="24">
        <v>6328445</v>
      </c>
      <c r="Z20" s="24"/>
      <c r="AA20" s="24">
        <v>0</v>
      </c>
      <c r="AB20" s="24"/>
      <c r="AC20" s="24">
        <v>37523</v>
      </c>
      <c r="AD20" s="24"/>
      <c r="AE20" s="24">
        <f t="shared" si="2"/>
        <v>17921079</v>
      </c>
      <c r="AF20" s="24"/>
      <c r="AG20" s="24">
        <v>-1354464</v>
      </c>
      <c r="AH20" s="24"/>
      <c r="AI20" s="24">
        <v>4341481</v>
      </c>
      <c r="AJ20" s="24"/>
      <c r="AK20" s="24">
        <v>2987017</v>
      </c>
      <c r="AL20" s="24">
        <f>+'Gov Rev'!AI20-'Gov Exp'!AE20+'Gov Exp'!AI20-'Gov Exp'!AK20</f>
        <v>0</v>
      </c>
      <c r="AM20" s="15" t="str">
        <f>'Gov Rev'!A20</f>
        <v>Amberley</v>
      </c>
      <c r="AN20" s="15" t="str">
        <f t="shared" si="0"/>
        <v>Amberley</v>
      </c>
      <c r="AO20" s="15" t="b">
        <f t="shared" si="1"/>
        <v>1</v>
      </c>
    </row>
    <row r="21" spans="1:41" ht="12" customHeight="1" x14ac:dyDescent="0.2">
      <c r="A21" s="1" t="s">
        <v>36</v>
      </c>
      <c r="B21" s="1"/>
      <c r="C21" s="1" t="s">
        <v>747</v>
      </c>
      <c r="E21" s="24">
        <v>830374.33</v>
      </c>
      <c r="G21" s="24">
        <v>30366.02</v>
      </c>
      <c r="I21" s="24">
        <v>11371.99</v>
      </c>
      <c r="K21" s="24">
        <v>7311.24</v>
      </c>
      <c r="M21" s="24">
        <v>12357.67</v>
      </c>
      <c r="O21" s="24">
        <v>147290.03</v>
      </c>
      <c r="Q21" s="24">
        <v>273162.02</v>
      </c>
      <c r="S21" s="24">
        <v>1140250.73</v>
      </c>
      <c r="U21" s="24">
        <v>26999.3</v>
      </c>
      <c r="W21" s="24">
        <v>2248.0500000000002</v>
      </c>
      <c r="Y21" s="24">
        <v>750</v>
      </c>
      <c r="AA21" s="24">
        <v>215400</v>
      </c>
      <c r="AC21" s="24">
        <v>0</v>
      </c>
      <c r="AE21" s="24">
        <f t="shared" si="2"/>
        <v>2697881.38</v>
      </c>
      <c r="AF21" s="24"/>
      <c r="AG21" s="24">
        <v>154877.04</v>
      </c>
      <c r="AH21" s="24"/>
      <c r="AI21" s="24">
        <v>1085641.1299999999</v>
      </c>
      <c r="AJ21" s="24"/>
      <c r="AK21" s="24">
        <v>1240518.17</v>
      </c>
      <c r="AL21" s="24">
        <f>+'Gov Rev'!AI21-'Gov Exp'!AE21+'Gov Exp'!AI21-'Gov Exp'!AK21</f>
        <v>0</v>
      </c>
      <c r="AM21" s="15" t="str">
        <f>'Gov Rev'!A21</f>
        <v>Amelia</v>
      </c>
      <c r="AN21" s="15" t="str">
        <f t="shared" si="0"/>
        <v>Amelia</v>
      </c>
      <c r="AO21" s="15" t="b">
        <f t="shared" si="1"/>
        <v>1</v>
      </c>
    </row>
    <row r="22" spans="1:41" ht="12" customHeight="1" x14ac:dyDescent="0.2">
      <c r="A22" s="1" t="s">
        <v>9</v>
      </c>
      <c r="B22" s="1"/>
      <c r="C22" s="1" t="s">
        <v>739</v>
      </c>
      <c r="E22" s="24">
        <v>36547.67</v>
      </c>
      <c r="G22" s="24">
        <v>0</v>
      </c>
      <c r="I22" s="24">
        <v>6483.57</v>
      </c>
      <c r="K22" s="24">
        <v>0</v>
      </c>
      <c r="M22" s="24">
        <v>0</v>
      </c>
      <c r="O22" s="24">
        <v>3540.4</v>
      </c>
      <c r="Q22" s="24">
        <v>23429.040000000001</v>
      </c>
      <c r="S22" s="24">
        <v>0</v>
      </c>
      <c r="U22" s="24">
        <v>0</v>
      </c>
      <c r="W22" s="24">
        <v>0</v>
      </c>
      <c r="Y22" s="24">
        <v>7450</v>
      </c>
      <c r="AA22" s="24">
        <v>0</v>
      </c>
      <c r="AC22" s="24">
        <v>0</v>
      </c>
      <c r="AE22" s="24">
        <f t="shared" si="2"/>
        <v>77450.679999999993</v>
      </c>
      <c r="AF22" s="24"/>
      <c r="AG22" s="24">
        <v>-2331.9499999999998</v>
      </c>
      <c r="AH22" s="24"/>
      <c r="AI22" s="24">
        <v>66785.81</v>
      </c>
      <c r="AJ22" s="24"/>
      <c r="AK22" s="24">
        <v>64453.86</v>
      </c>
      <c r="AL22" s="24">
        <f>+'Gov Rev'!AI22-'Gov Exp'!AE22+'Gov Exp'!AI22-'Gov Exp'!AK22</f>
        <v>0</v>
      </c>
      <c r="AM22" s="15" t="str">
        <f>'Gov Rev'!A22</f>
        <v>Amesville</v>
      </c>
      <c r="AN22" s="15" t="str">
        <f t="shared" si="0"/>
        <v>Amesville</v>
      </c>
      <c r="AO22" s="15" t="b">
        <f t="shared" si="1"/>
        <v>1</v>
      </c>
    </row>
    <row r="23" spans="1:41" ht="12" customHeight="1" x14ac:dyDescent="0.2">
      <c r="A23" s="15" t="s">
        <v>421</v>
      </c>
      <c r="C23" s="15" t="s">
        <v>420</v>
      </c>
      <c r="E23" s="24">
        <f>20205+8107</f>
        <v>28312</v>
      </c>
      <c r="G23" s="24">
        <v>507</v>
      </c>
      <c r="I23" s="24">
        <v>5514</v>
      </c>
      <c r="K23" s="24">
        <v>0</v>
      </c>
      <c r="M23" s="24">
        <v>1674</v>
      </c>
      <c r="O23" s="24">
        <v>18309</v>
      </c>
      <c r="Q23" s="24">
        <f>33843+7507</f>
        <v>41350</v>
      </c>
      <c r="S23" s="24">
        <f>5000+20000</f>
        <v>25000</v>
      </c>
      <c r="U23" s="24">
        <v>0</v>
      </c>
      <c r="W23" s="24">
        <v>0</v>
      </c>
      <c r="Y23" s="24">
        <v>500</v>
      </c>
      <c r="AA23" s="24">
        <v>0</v>
      </c>
      <c r="AC23" s="24">
        <v>662</v>
      </c>
      <c r="AE23" s="24">
        <f t="shared" si="2"/>
        <v>121828</v>
      </c>
      <c r="AF23" s="24"/>
      <c r="AG23" s="24">
        <f>-14296-2607</f>
        <v>-16903</v>
      </c>
      <c r="AH23" s="24"/>
      <c r="AI23" s="24">
        <f>74744+23499</f>
        <v>98243</v>
      </c>
      <c r="AJ23" s="24"/>
      <c r="AK23" s="24">
        <f>60448+20892</f>
        <v>81340</v>
      </c>
      <c r="AL23" s="24">
        <f>+'Gov Rev'!AI23-'Gov Exp'!AE23+'Gov Exp'!AI23-'Gov Exp'!AK23</f>
        <v>0</v>
      </c>
      <c r="AM23" s="15" t="str">
        <f>'Gov Rev'!A23</f>
        <v>Amsterdam</v>
      </c>
      <c r="AN23" s="15" t="str">
        <f t="shared" si="0"/>
        <v>Amsterdam</v>
      </c>
      <c r="AO23" s="15" t="b">
        <f t="shared" si="1"/>
        <v>1</v>
      </c>
    </row>
    <row r="24" spans="1:41" ht="12" customHeight="1" x14ac:dyDescent="0.2">
      <c r="A24" s="1" t="s">
        <v>915</v>
      </c>
      <c r="B24" s="1"/>
      <c r="C24" s="1" t="s">
        <v>671</v>
      </c>
      <c r="E24" s="24">
        <v>331962.34999999998</v>
      </c>
      <c r="G24" s="24">
        <v>14138.77</v>
      </c>
      <c r="I24" s="24">
        <v>13513.67</v>
      </c>
      <c r="K24" s="24">
        <v>5908.61</v>
      </c>
      <c r="M24" s="24">
        <v>1395.2</v>
      </c>
      <c r="O24" s="24">
        <v>67859.360000000001</v>
      </c>
      <c r="Q24" s="24">
        <v>196055.99</v>
      </c>
      <c r="S24" s="24">
        <v>2479.1</v>
      </c>
      <c r="U24" s="24">
        <v>79055.72</v>
      </c>
      <c r="W24" s="24">
        <v>14116.28</v>
      </c>
      <c r="Y24" s="24">
        <v>0.18</v>
      </c>
      <c r="AA24" s="24">
        <v>6029.58</v>
      </c>
      <c r="AC24" s="24">
        <v>0</v>
      </c>
      <c r="AE24" s="24">
        <f t="shared" si="2"/>
        <v>732514.80999999994</v>
      </c>
      <c r="AF24" s="24"/>
      <c r="AG24" s="24">
        <v>32604.59</v>
      </c>
      <c r="AH24" s="24"/>
      <c r="AI24" s="24">
        <v>165951.51999999999</v>
      </c>
      <c r="AJ24" s="24"/>
      <c r="AK24" s="24">
        <v>198556.11</v>
      </c>
      <c r="AL24" s="24">
        <f>+'Gov Rev'!AI24-'Gov Exp'!AE24+'Gov Exp'!AI24-'Gov Exp'!AK24</f>
        <v>0</v>
      </c>
      <c r="AM24" s="15" t="str">
        <f>'Gov Rev'!A24</f>
        <v>Andover</v>
      </c>
      <c r="AN24" s="15" t="str">
        <f t="shared" si="0"/>
        <v>Andover</v>
      </c>
      <c r="AO24" s="15" t="b">
        <f t="shared" si="1"/>
        <v>1</v>
      </c>
    </row>
    <row r="25" spans="1:41" ht="12" customHeight="1" x14ac:dyDescent="0.2">
      <c r="A25" s="1" t="s">
        <v>221</v>
      </c>
      <c r="B25" s="1"/>
      <c r="C25" s="1" t="s">
        <v>803</v>
      </c>
      <c r="D25" s="28"/>
      <c r="E25" s="24">
        <v>337428.17</v>
      </c>
      <c r="G25" s="24">
        <v>5847</v>
      </c>
      <c r="I25" s="24">
        <v>38905.33</v>
      </c>
      <c r="K25" s="24">
        <v>170.95</v>
      </c>
      <c r="M25" s="24">
        <v>0</v>
      </c>
      <c r="O25" s="24">
        <v>161317.92000000001</v>
      </c>
      <c r="Q25" s="24">
        <v>153544.76999999999</v>
      </c>
      <c r="S25" s="24">
        <v>78465.64</v>
      </c>
      <c r="U25" s="24">
        <v>618559.86</v>
      </c>
      <c r="W25" s="24">
        <v>43913.11</v>
      </c>
      <c r="Y25" s="24">
        <v>363921.84</v>
      </c>
      <c r="AA25" s="24">
        <v>0</v>
      </c>
      <c r="AC25" s="24">
        <v>0</v>
      </c>
      <c r="AE25" s="24">
        <f t="shared" si="2"/>
        <v>1802074.5900000003</v>
      </c>
      <c r="AF25" s="24"/>
      <c r="AG25" s="24">
        <v>-460147.93</v>
      </c>
      <c r="AH25" s="24"/>
      <c r="AI25" s="24">
        <v>1076996.6299999999</v>
      </c>
      <c r="AJ25" s="24"/>
      <c r="AK25" s="24">
        <v>616848.69999999995</v>
      </c>
      <c r="AL25" s="24">
        <f>+'Gov Rev'!AI25-'Gov Exp'!AE25+'Gov Exp'!AI25-'Gov Exp'!AK25</f>
        <v>0</v>
      </c>
      <c r="AM25" s="15" t="str">
        <f>'Gov Rev'!A25</f>
        <v>Anna</v>
      </c>
      <c r="AN25" s="15" t="str">
        <f t="shared" si="0"/>
        <v>Anna</v>
      </c>
      <c r="AO25" s="15" t="b">
        <f t="shared" si="1"/>
        <v>1</v>
      </c>
    </row>
    <row r="26" spans="1:41" ht="12" customHeight="1" x14ac:dyDescent="0.2">
      <c r="A26" s="15" t="s">
        <v>328</v>
      </c>
      <c r="C26" s="15" t="s">
        <v>329</v>
      </c>
      <c r="E26" s="24">
        <v>189326</v>
      </c>
      <c r="G26" s="24">
        <v>7315</v>
      </c>
      <c r="I26" s="24">
        <v>17612</v>
      </c>
      <c r="K26" s="24">
        <v>0</v>
      </c>
      <c r="M26" s="24">
        <v>0</v>
      </c>
      <c r="O26" s="24">
        <v>62146</v>
      </c>
      <c r="Q26" s="24">
        <v>134943</v>
      </c>
      <c r="S26" s="24">
        <v>369567</v>
      </c>
      <c r="U26" s="24">
        <v>43500</v>
      </c>
      <c r="W26" s="24">
        <v>10435</v>
      </c>
      <c r="Y26" s="24">
        <v>73935</v>
      </c>
      <c r="AA26" s="24">
        <v>0</v>
      </c>
      <c r="AC26" s="24">
        <v>0</v>
      </c>
      <c r="AE26" s="24">
        <f t="shared" si="2"/>
        <v>908779</v>
      </c>
      <c r="AF26" s="24"/>
      <c r="AG26" s="24">
        <v>-14982</v>
      </c>
      <c r="AH26" s="24"/>
      <c r="AI26" s="24">
        <v>313059</v>
      </c>
      <c r="AJ26" s="24"/>
      <c r="AK26" s="24">
        <v>298077</v>
      </c>
      <c r="AL26" s="24">
        <f>+'Gov Rev'!AI26-'Gov Exp'!AE26+'Gov Exp'!AI26-'Gov Exp'!AK26</f>
        <v>0</v>
      </c>
      <c r="AM26" s="15" t="str">
        <f>'Gov Rev'!A26</f>
        <v>Ansonia</v>
      </c>
      <c r="AN26" s="15" t="str">
        <f t="shared" si="0"/>
        <v>Ansonia</v>
      </c>
      <c r="AO26" s="15" t="b">
        <f t="shared" si="1"/>
        <v>1</v>
      </c>
    </row>
    <row r="27" spans="1:41" ht="12" customHeight="1" x14ac:dyDescent="0.2">
      <c r="A27" s="15" t="s">
        <v>473</v>
      </c>
      <c r="C27" s="15" t="s">
        <v>474</v>
      </c>
      <c r="E27" s="24">
        <v>2112</v>
      </c>
      <c r="G27" s="24">
        <v>3182</v>
      </c>
      <c r="I27" s="24">
        <v>0</v>
      </c>
      <c r="K27" s="24">
        <v>0</v>
      </c>
      <c r="M27" s="24">
        <v>0</v>
      </c>
      <c r="O27" s="24">
        <v>0</v>
      </c>
      <c r="Q27" s="24">
        <f>5340+1</f>
        <v>5341</v>
      </c>
      <c r="S27" s="24">
        <v>0</v>
      </c>
      <c r="U27" s="24">
        <v>0</v>
      </c>
      <c r="W27" s="24">
        <v>0</v>
      </c>
      <c r="Y27" s="24">
        <v>0</v>
      </c>
      <c r="AA27" s="24">
        <v>0</v>
      </c>
      <c r="AC27" s="24">
        <v>0</v>
      </c>
      <c r="AE27" s="24">
        <f t="shared" si="2"/>
        <v>10635</v>
      </c>
      <c r="AF27" s="24"/>
      <c r="AG27" s="24">
        <v>3200</v>
      </c>
      <c r="AH27" s="24"/>
      <c r="AI27" s="24">
        <v>31914</v>
      </c>
      <c r="AJ27" s="24"/>
      <c r="AK27" s="24">
        <v>35114</v>
      </c>
      <c r="AL27" s="24">
        <f>+'Gov Rev'!AI27-'Gov Exp'!AE27+'Gov Exp'!AI27-'Gov Exp'!AK27</f>
        <v>0</v>
      </c>
      <c r="AM27" s="15" t="str">
        <f>'Gov Rev'!A27</f>
        <v>Antioch</v>
      </c>
      <c r="AN27" s="15" t="str">
        <f t="shared" si="0"/>
        <v>Antioch</v>
      </c>
      <c r="AO27" s="15" t="b">
        <f t="shared" si="1"/>
        <v>1</v>
      </c>
    </row>
    <row r="28" spans="1:41" ht="12" customHeight="1" x14ac:dyDescent="0.2">
      <c r="A28" s="15" t="s">
        <v>495</v>
      </c>
      <c r="C28" s="15" t="s">
        <v>496</v>
      </c>
      <c r="E28" s="24">
        <v>328263</v>
      </c>
      <c r="G28" s="24">
        <v>568</v>
      </c>
      <c r="I28" s="24">
        <v>36545</v>
      </c>
      <c r="K28" s="24">
        <v>1000</v>
      </c>
      <c r="M28" s="24">
        <v>0</v>
      </c>
      <c r="O28" s="24">
        <v>83720</v>
      </c>
      <c r="Q28" s="24">
        <v>189198</v>
      </c>
      <c r="S28" s="24">
        <v>330134</v>
      </c>
      <c r="U28" s="24">
        <v>20410</v>
      </c>
      <c r="W28" s="24">
        <v>6283</v>
      </c>
      <c r="Y28" s="24">
        <v>185000</v>
      </c>
      <c r="AA28" s="24">
        <v>7139</v>
      </c>
      <c r="AC28" s="24">
        <f>13487+1</f>
        <v>13488</v>
      </c>
      <c r="AE28" s="24">
        <f t="shared" si="2"/>
        <v>1201748</v>
      </c>
      <c r="AF28" s="24"/>
      <c r="AG28" s="24">
        <v>-9257</v>
      </c>
      <c r="AH28" s="24"/>
      <c r="AI28" s="24">
        <v>496693</v>
      </c>
      <c r="AJ28" s="24"/>
      <c r="AK28" s="24">
        <v>487436</v>
      </c>
      <c r="AL28" s="24">
        <f>+'Gov Rev'!AI28-'Gov Exp'!AE28+'Gov Exp'!AI28-'Gov Exp'!AK28</f>
        <v>0</v>
      </c>
      <c r="AM28" s="15" t="str">
        <f>'Gov Rev'!A28</f>
        <v>Antwerp</v>
      </c>
      <c r="AN28" s="15" t="str">
        <f t="shared" si="0"/>
        <v>Antwerp</v>
      </c>
      <c r="AO28" s="15" t="b">
        <f t="shared" si="1"/>
        <v>1</v>
      </c>
    </row>
    <row r="29" spans="1:41" ht="12" customHeight="1" x14ac:dyDescent="0.2">
      <c r="A29" s="15" t="s">
        <v>587</v>
      </c>
      <c r="C29" s="15" t="s">
        <v>588</v>
      </c>
      <c r="E29" s="24">
        <v>163860</v>
      </c>
      <c r="G29" s="24">
        <v>0</v>
      </c>
      <c r="I29" s="24">
        <v>9872</v>
      </c>
      <c r="K29" s="24">
        <v>0</v>
      </c>
      <c r="M29" s="24">
        <v>0</v>
      </c>
      <c r="O29" s="24">
        <v>100601</v>
      </c>
      <c r="Q29" s="24">
        <v>103721</v>
      </c>
      <c r="S29" s="24">
        <v>79633</v>
      </c>
      <c r="U29" s="24">
        <v>0</v>
      </c>
      <c r="W29" s="24">
        <v>0</v>
      </c>
      <c r="Y29" s="24">
        <v>54300</v>
      </c>
      <c r="AA29" s="24">
        <v>0</v>
      </c>
      <c r="AC29" s="24">
        <v>1268</v>
      </c>
      <c r="AE29" s="24">
        <f t="shared" si="2"/>
        <v>513255</v>
      </c>
      <c r="AF29" s="24"/>
      <c r="AG29" s="24">
        <v>-90809</v>
      </c>
      <c r="AH29" s="24"/>
      <c r="AI29" s="24">
        <v>569208</v>
      </c>
      <c r="AJ29" s="24"/>
      <c r="AK29" s="24">
        <v>478399</v>
      </c>
      <c r="AL29" s="24">
        <f>+'Gov Rev'!AI29-'Gov Exp'!AE29+'Gov Exp'!AI29-'Gov Exp'!AK29</f>
        <v>0</v>
      </c>
      <c r="AM29" s="15" t="str">
        <f>'Gov Rev'!A29</f>
        <v>Apple Creek</v>
      </c>
      <c r="AN29" s="15" t="str">
        <f t="shared" si="0"/>
        <v>Apple Creek</v>
      </c>
      <c r="AO29" s="15" t="b">
        <f t="shared" si="1"/>
        <v>1</v>
      </c>
    </row>
    <row r="30" spans="1:41" ht="12" customHeight="1" x14ac:dyDescent="0.2">
      <c r="A30" s="1" t="s">
        <v>705</v>
      </c>
      <c r="B30" s="1"/>
      <c r="C30" s="1" t="s">
        <v>368</v>
      </c>
      <c r="E30" s="24">
        <v>9875.43</v>
      </c>
      <c r="G30" s="24">
        <v>0</v>
      </c>
      <c r="I30" s="24">
        <v>5923.09</v>
      </c>
      <c r="K30" s="24">
        <v>0</v>
      </c>
      <c r="M30" s="24">
        <v>1535.69</v>
      </c>
      <c r="O30" s="24">
        <v>26240.75</v>
      </c>
      <c r="Q30" s="24">
        <v>26376.65</v>
      </c>
      <c r="S30" s="24">
        <v>0</v>
      </c>
      <c r="U30" s="24">
        <v>0</v>
      </c>
      <c r="W30" s="24">
        <v>0</v>
      </c>
      <c r="Y30" s="24">
        <v>0</v>
      </c>
      <c r="AA30" s="24">
        <v>0</v>
      </c>
      <c r="AC30" s="24">
        <v>0</v>
      </c>
      <c r="AE30" s="24">
        <f t="shared" si="2"/>
        <v>69951.61</v>
      </c>
      <c r="AF30" s="24"/>
      <c r="AG30" s="24">
        <v>-5722.87</v>
      </c>
      <c r="AH30" s="24"/>
      <c r="AI30" s="24">
        <v>126167.49</v>
      </c>
      <c r="AJ30" s="24"/>
      <c r="AK30" s="24">
        <v>120444.62</v>
      </c>
      <c r="AL30" s="24">
        <f>+'Gov Rev'!AI30-'Gov Exp'!AE30+'Gov Exp'!AI30-'Gov Exp'!AK30</f>
        <v>0</v>
      </c>
      <c r="AM30" s="15" t="str">
        <f>'Gov Rev'!A30</f>
        <v>Aquilla</v>
      </c>
      <c r="AN30" s="15" t="str">
        <f t="shared" si="0"/>
        <v>Aquilla</v>
      </c>
      <c r="AO30" s="15" t="b">
        <f t="shared" si="1"/>
        <v>1</v>
      </c>
    </row>
    <row r="31" spans="1:41" ht="12" customHeight="1" x14ac:dyDescent="0.2">
      <c r="A31" s="1" t="s">
        <v>387</v>
      </c>
      <c r="B31" s="1"/>
      <c r="C31" s="1" t="s">
        <v>388</v>
      </c>
      <c r="E31" s="24">
        <v>0</v>
      </c>
      <c r="G31" s="24">
        <v>2968.92</v>
      </c>
      <c r="I31" s="24">
        <v>1864.3</v>
      </c>
      <c r="K31" s="24">
        <v>1912.31</v>
      </c>
      <c r="M31" s="24">
        <v>0</v>
      </c>
      <c r="O31" s="24">
        <v>36722.120000000003</v>
      </c>
      <c r="Q31" s="24">
        <v>78600.31</v>
      </c>
      <c r="S31" s="24">
        <v>33081.47</v>
      </c>
      <c r="U31" s="24">
        <v>0</v>
      </c>
      <c r="W31" s="24">
        <v>0</v>
      </c>
      <c r="Y31" s="24">
        <v>8900</v>
      </c>
      <c r="AA31" s="24">
        <v>0</v>
      </c>
      <c r="AC31" s="24">
        <v>0</v>
      </c>
      <c r="AE31" s="24">
        <f t="shared" si="2"/>
        <v>164049.43</v>
      </c>
      <c r="AF31" s="24"/>
      <c r="AG31" s="24">
        <v>-31608.25</v>
      </c>
      <c r="AH31" s="24"/>
      <c r="AI31" s="24">
        <v>468645.4</v>
      </c>
      <c r="AJ31" s="24"/>
      <c r="AK31" s="24">
        <v>437037.15</v>
      </c>
      <c r="AL31" s="24">
        <f>+'Gov Rev'!AI31-'Gov Exp'!AE31+'Gov Exp'!AI31-'Gov Exp'!AK31</f>
        <v>0</v>
      </c>
      <c r="AM31" s="15" t="str">
        <f>'Gov Rev'!A31</f>
        <v>Arcadia</v>
      </c>
      <c r="AN31" s="15" t="str">
        <f t="shared" si="0"/>
        <v>Arcadia</v>
      </c>
      <c r="AO31" s="15" t="b">
        <f t="shared" si="1"/>
        <v>1</v>
      </c>
    </row>
    <row r="32" spans="1:41" ht="12" customHeight="1" x14ac:dyDescent="0.2">
      <c r="A32" s="15" t="s">
        <v>330</v>
      </c>
      <c r="C32" s="15" t="s">
        <v>329</v>
      </c>
      <c r="E32" s="24">
        <v>325046</v>
      </c>
      <c r="G32" s="24">
        <v>11444</v>
      </c>
      <c r="I32" s="24">
        <v>42179</v>
      </c>
      <c r="K32" s="24">
        <v>92876</v>
      </c>
      <c r="M32" s="24">
        <v>0</v>
      </c>
      <c r="O32" s="24">
        <v>93965</v>
      </c>
      <c r="Q32" s="24">
        <v>164559</v>
      </c>
      <c r="S32" s="24">
        <v>146366</v>
      </c>
      <c r="U32" s="24">
        <v>50439</v>
      </c>
      <c r="W32" s="24">
        <v>1159</v>
      </c>
      <c r="Y32" s="24">
        <v>31000</v>
      </c>
      <c r="AA32" s="24">
        <v>0</v>
      </c>
      <c r="AC32" s="24">
        <v>0</v>
      </c>
      <c r="AE32" s="24">
        <f t="shared" si="2"/>
        <v>959033</v>
      </c>
      <c r="AF32" s="24"/>
      <c r="AG32" s="24">
        <v>211174</v>
      </c>
      <c r="AH32" s="24"/>
      <c r="AI32" s="24">
        <v>1554946</v>
      </c>
      <c r="AJ32" s="24"/>
      <c r="AK32" s="24">
        <v>1766120</v>
      </c>
      <c r="AL32" s="24">
        <f>+'Gov Rev'!AI32-'Gov Exp'!AE32+'Gov Exp'!AI32-'Gov Exp'!AK32</f>
        <v>0</v>
      </c>
      <c r="AM32" s="15" t="str">
        <f>'Gov Rev'!A32</f>
        <v>Arcanum</v>
      </c>
      <c r="AN32" s="15" t="str">
        <f t="shared" si="0"/>
        <v>Arcanum</v>
      </c>
      <c r="AO32" s="15" t="b">
        <f t="shared" si="1"/>
        <v>1</v>
      </c>
    </row>
    <row r="33" spans="1:41" ht="12" customHeight="1" x14ac:dyDescent="0.2">
      <c r="A33" s="15" t="s">
        <v>357</v>
      </c>
      <c r="C33" s="15" t="s">
        <v>358</v>
      </c>
      <c r="E33" s="24">
        <v>1352080</v>
      </c>
      <c r="G33" s="24">
        <v>64000</v>
      </c>
      <c r="I33" s="24">
        <v>589749</v>
      </c>
      <c r="K33" s="24">
        <v>624182</v>
      </c>
      <c r="M33" s="24">
        <v>297077</v>
      </c>
      <c r="O33" s="24">
        <v>674833</v>
      </c>
      <c r="Q33" s="24">
        <v>680162</v>
      </c>
      <c r="S33" s="24">
        <v>1084122</v>
      </c>
      <c r="U33" s="24">
        <v>335000</v>
      </c>
      <c r="W33" s="24">
        <v>210255</v>
      </c>
      <c r="Y33" s="24">
        <v>2907845</v>
      </c>
      <c r="AA33" s="24">
        <v>800</v>
      </c>
      <c r="AC33" s="24">
        <v>106466</v>
      </c>
      <c r="AE33" s="24">
        <f t="shared" si="2"/>
        <v>8926571</v>
      </c>
      <c r="AF33" s="24"/>
      <c r="AG33" s="24">
        <v>704790</v>
      </c>
      <c r="AH33" s="24"/>
      <c r="AI33" s="24">
        <v>4126222</v>
      </c>
      <c r="AJ33" s="24"/>
      <c r="AK33" s="24">
        <v>4831012</v>
      </c>
      <c r="AL33" s="24">
        <f>+'Gov Rev'!AI33-'Gov Exp'!AE33+'Gov Exp'!AI33-'Gov Exp'!AK33</f>
        <v>0</v>
      </c>
      <c r="AM33" s="15" t="str">
        <f>'Gov Rev'!A33</f>
        <v>Archbold</v>
      </c>
      <c r="AN33" s="15" t="str">
        <f t="shared" si="0"/>
        <v>Archbold</v>
      </c>
      <c r="AO33" s="15" t="b">
        <f t="shared" si="1"/>
        <v>1</v>
      </c>
    </row>
    <row r="34" spans="1:41" s="24" customFormat="1" ht="12" customHeight="1" x14ac:dyDescent="0.2">
      <c r="A34" s="15" t="s">
        <v>98</v>
      </c>
      <c r="B34" s="15"/>
      <c r="C34" s="15" t="s">
        <v>388</v>
      </c>
      <c r="D34" s="15"/>
      <c r="E34" s="24">
        <v>144238.49</v>
      </c>
      <c r="G34" s="24">
        <v>8252.24</v>
      </c>
      <c r="I34" s="24">
        <v>0</v>
      </c>
      <c r="K34" s="24">
        <v>0</v>
      </c>
      <c r="M34" s="24">
        <v>0</v>
      </c>
      <c r="O34" s="24">
        <v>88011.33</v>
      </c>
      <c r="Q34" s="24">
        <v>128096.84</v>
      </c>
      <c r="S34" s="24">
        <v>164407.71</v>
      </c>
      <c r="U34" s="24">
        <v>72364.990000000005</v>
      </c>
      <c r="W34" s="24">
        <v>7307.73</v>
      </c>
      <c r="Y34" s="24">
        <v>214934.49</v>
      </c>
      <c r="AA34" s="24">
        <v>43500</v>
      </c>
      <c r="AC34" s="24">
        <v>8506.6</v>
      </c>
      <c r="AE34" s="24">
        <f t="shared" si="2"/>
        <v>879620.41999999993</v>
      </c>
      <c r="AG34" s="24">
        <v>-169448.71</v>
      </c>
      <c r="AI34" s="24">
        <v>472543.05</v>
      </c>
      <c r="AK34" s="24">
        <v>303094.34000000003</v>
      </c>
      <c r="AL34" s="24">
        <f>+'Gov Rev'!AI34-'Gov Exp'!AE34+'Gov Exp'!AI34-'Gov Exp'!AK34</f>
        <v>0</v>
      </c>
      <c r="AM34" s="15" t="str">
        <f>'Gov Rev'!A34</f>
        <v>Arlington</v>
      </c>
      <c r="AN34" s="15" t="str">
        <f t="shared" si="0"/>
        <v>Arlington</v>
      </c>
      <c r="AO34" s="15" t="b">
        <f t="shared" si="1"/>
        <v>1</v>
      </c>
    </row>
    <row r="35" spans="1:41" ht="12" customHeight="1" x14ac:dyDescent="0.2">
      <c r="A35" s="15" t="s">
        <v>379</v>
      </c>
      <c r="C35" s="15" t="s">
        <v>378</v>
      </c>
      <c r="E35" s="24">
        <v>410111</v>
      </c>
      <c r="G35" s="24">
        <v>0</v>
      </c>
      <c r="I35" s="24">
        <v>4968</v>
      </c>
      <c r="K35" s="24">
        <v>0</v>
      </c>
      <c r="M35" s="24">
        <v>82345</v>
      </c>
      <c r="O35" s="24">
        <v>65601</v>
      </c>
      <c r="Q35" s="24">
        <v>605383</v>
      </c>
      <c r="S35" s="24">
        <v>2302</v>
      </c>
      <c r="U35" s="24">
        <v>30089</v>
      </c>
      <c r="W35" s="24">
        <v>0</v>
      </c>
      <c r="Y35" s="24">
        <v>0</v>
      </c>
      <c r="AA35" s="24">
        <v>0</v>
      </c>
      <c r="AC35" s="24">
        <v>2656</v>
      </c>
      <c r="AE35" s="24">
        <f t="shared" si="2"/>
        <v>1203455</v>
      </c>
      <c r="AF35" s="24"/>
      <c r="AG35" s="24">
        <v>-36461</v>
      </c>
      <c r="AH35" s="24"/>
      <c r="AI35" s="24">
        <v>406479</v>
      </c>
      <c r="AJ35" s="24"/>
      <c r="AK35" s="24">
        <v>370019</v>
      </c>
      <c r="AL35" s="24">
        <f>+'Gov Rev'!AI35-'Gov Exp'!AE35+'Gov Exp'!AI35-'Gov Exp'!AK35</f>
        <v>0</v>
      </c>
      <c r="AM35" s="15" t="str">
        <f>'Gov Rev'!A35</f>
        <v>Arlington Heights</v>
      </c>
      <c r="AN35" s="15" t="str">
        <f t="shared" si="0"/>
        <v>Arlington Heights</v>
      </c>
      <c r="AO35" s="15" t="b">
        <f t="shared" si="1"/>
        <v>1</v>
      </c>
    </row>
    <row r="36" spans="1:41" ht="12" customHeight="1" x14ac:dyDescent="0.2">
      <c r="A36" s="1" t="s">
        <v>914</v>
      </c>
      <c r="B36" s="1"/>
      <c r="C36" s="1" t="s">
        <v>343</v>
      </c>
      <c r="E36" s="24">
        <v>138463.41</v>
      </c>
      <c r="G36" s="24">
        <v>11129.46</v>
      </c>
      <c r="I36" s="24">
        <v>40333.15</v>
      </c>
      <c r="K36" s="24">
        <v>0</v>
      </c>
      <c r="M36" s="24">
        <v>72651.600000000006</v>
      </c>
      <c r="O36" s="24">
        <v>97016.62</v>
      </c>
      <c r="Q36" s="24">
        <v>131226.10999999999</v>
      </c>
      <c r="S36" s="24">
        <v>0</v>
      </c>
      <c r="U36" s="24">
        <v>0</v>
      </c>
      <c r="W36" s="24">
        <v>0</v>
      </c>
      <c r="Y36" s="24">
        <v>69095</v>
      </c>
      <c r="AA36" s="24">
        <v>0</v>
      </c>
      <c r="AC36" s="24">
        <v>0</v>
      </c>
      <c r="AE36" s="24">
        <f t="shared" si="2"/>
        <v>559915.35</v>
      </c>
      <c r="AF36" s="24"/>
      <c r="AG36" s="24">
        <v>-17159.5</v>
      </c>
      <c r="AH36" s="24"/>
      <c r="AI36" s="24">
        <v>193154.56</v>
      </c>
      <c r="AJ36" s="24"/>
      <c r="AK36" s="24">
        <v>175995.06</v>
      </c>
      <c r="AL36" s="24">
        <f>+'Gov Rev'!AI36-'Gov Exp'!AE36+'Gov Exp'!AI36-'Gov Exp'!AK36</f>
        <v>0</v>
      </c>
      <c r="AM36" s="15" t="str">
        <f>'Gov Rev'!A36</f>
        <v>Ashley</v>
      </c>
      <c r="AN36" s="15" t="str">
        <f t="shared" si="0"/>
        <v>Ashley</v>
      </c>
      <c r="AO36" s="15" t="b">
        <f t="shared" si="1"/>
        <v>1</v>
      </c>
    </row>
    <row r="37" spans="1:41" ht="12" customHeight="1" x14ac:dyDescent="0.2">
      <c r="A37" s="1" t="s">
        <v>836</v>
      </c>
      <c r="B37" s="1"/>
      <c r="C37" s="1" t="s">
        <v>793</v>
      </c>
      <c r="E37" s="24">
        <v>700565.61</v>
      </c>
      <c r="G37" s="24">
        <v>8896.5</v>
      </c>
      <c r="I37" s="24">
        <v>27337.74</v>
      </c>
      <c r="K37" s="24">
        <v>30840.77</v>
      </c>
      <c r="M37" s="24">
        <v>315689.15999999997</v>
      </c>
      <c r="O37" s="24">
        <v>389751.7</v>
      </c>
      <c r="Q37" s="24">
        <v>305765.38</v>
      </c>
      <c r="S37" s="24">
        <v>7500</v>
      </c>
      <c r="U37" s="24">
        <v>24251</v>
      </c>
      <c r="W37" s="24">
        <v>3044</v>
      </c>
      <c r="Y37" s="24">
        <v>0</v>
      </c>
      <c r="AA37" s="24">
        <v>0</v>
      </c>
      <c r="AC37" s="24">
        <v>0</v>
      </c>
      <c r="AE37" s="24">
        <f t="shared" si="2"/>
        <v>1813641.8599999999</v>
      </c>
      <c r="AF37" s="24"/>
      <c r="AG37" s="24">
        <v>-2094.0500000000002</v>
      </c>
      <c r="AH37" s="24"/>
      <c r="AI37" s="24">
        <v>738998.46</v>
      </c>
      <c r="AJ37" s="24"/>
      <c r="AK37" s="24">
        <v>736904.41</v>
      </c>
      <c r="AL37" s="24">
        <f>+'Gov Rev'!AI37-'Gov Exp'!AE37+'Gov Exp'!AI37-'Gov Exp'!AK37</f>
        <v>0</v>
      </c>
      <c r="AM37" s="15" t="str">
        <f>'Gov Rev'!A37</f>
        <v>Ashville</v>
      </c>
      <c r="AN37" s="15" t="str">
        <f t="shared" si="0"/>
        <v>Ashville</v>
      </c>
      <c r="AO37" s="15" t="b">
        <f t="shared" si="1"/>
        <v>1</v>
      </c>
    </row>
    <row r="38" spans="1:41" ht="12" customHeight="1" x14ac:dyDescent="0.2">
      <c r="A38" s="15" t="s">
        <v>877</v>
      </c>
      <c r="C38" s="15" t="s">
        <v>437</v>
      </c>
      <c r="D38" s="28"/>
      <c r="E38" s="24">
        <v>7425</v>
      </c>
      <c r="G38" s="24">
        <v>0</v>
      </c>
      <c r="I38" s="24">
        <v>28</v>
      </c>
      <c r="K38" s="24">
        <v>1784</v>
      </c>
      <c r="M38" s="24">
        <v>7182</v>
      </c>
      <c r="O38" s="24">
        <v>9956</v>
      </c>
      <c r="Q38" s="24">
        <v>3789</v>
      </c>
      <c r="S38" s="24">
        <v>0</v>
      </c>
      <c r="U38" s="24">
        <v>1200</v>
      </c>
      <c r="W38" s="24">
        <v>0</v>
      </c>
      <c r="Y38" s="24">
        <v>0</v>
      </c>
      <c r="AA38" s="24">
        <v>0</v>
      </c>
      <c r="AC38" s="24">
        <v>0</v>
      </c>
      <c r="AE38" s="24">
        <f t="shared" si="2"/>
        <v>31364</v>
      </c>
      <c r="AF38" s="24"/>
      <c r="AG38" s="24">
        <f>28115-31364</f>
        <v>-3249</v>
      </c>
      <c r="AH38" s="24"/>
      <c r="AI38" s="24">
        <f>AK38-AG38</f>
        <v>195</v>
      </c>
      <c r="AJ38" s="24"/>
      <c r="AK38" s="24">
        <v>-3054</v>
      </c>
      <c r="AL38" s="24">
        <f>+'Gov Rev'!AI38-'Gov Exp'!AE38+'Gov Exp'!AI38-'Gov Exp'!AK38</f>
        <v>0</v>
      </c>
      <c r="AM38" s="15" t="str">
        <f>'Gov Rev'!A38</f>
        <v>Athalia</v>
      </c>
      <c r="AN38" s="15" t="str">
        <f t="shared" si="0"/>
        <v>Athalia</v>
      </c>
      <c r="AO38" s="15" t="b">
        <f t="shared" si="1"/>
        <v>1</v>
      </c>
    </row>
    <row r="39" spans="1:41" ht="12" customHeight="1" x14ac:dyDescent="0.2">
      <c r="A39" s="1" t="s">
        <v>218</v>
      </c>
      <c r="B39" s="1"/>
      <c r="C39" s="1" t="s">
        <v>802</v>
      </c>
      <c r="E39" s="24">
        <v>133823.44</v>
      </c>
      <c r="G39" s="24">
        <v>0</v>
      </c>
      <c r="I39" s="24">
        <v>21833.279999999999</v>
      </c>
      <c r="K39" s="24">
        <v>0</v>
      </c>
      <c r="M39" s="24">
        <v>0</v>
      </c>
      <c r="O39" s="24">
        <v>31468.27</v>
      </c>
      <c r="Q39" s="24">
        <v>55909.24</v>
      </c>
      <c r="S39" s="24">
        <v>1146</v>
      </c>
      <c r="U39" s="24">
        <v>9862.51</v>
      </c>
      <c r="W39" s="24">
        <v>5771.79</v>
      </c>
      <c r="Y39" s="24">
        <v>0</v>
      </c>
      <c r="AA39" s="24">
        <v>0</v>
      </c>
      <c r="AC39" s="24">
        <v>0</v>
      </c>
      <c r="AE39" s="24">
        <f t="shared" si="2"/>
        <v>259814.53</v>
      </c>
      <c r="AF39" s="24"/>
      <c r="AG39" s="24">
        <v>39252.85</v>
      </c>
      <c r="AH39" s="24"/>
      <c r="AI39" s="24">
        <v>207736.3</v>
      </c>
      <c r="AJ39" s="24"/>
      <c r="AK39" s="24">
        <v>246989.15</v>
      </c>
      <c r="AL39" s="24">
        <f>+'Gov Rev'!AI39-'Gov Exp'!AE39+'Gov Exp'!AI39-'Gov Exp'!AK39</f>
        <v>0</v>
      </c>
      <c r="AM39" s="15" t="str">
        <f>'Gov Rev'!A39</f>
        <v>Attica</v>
      </c>
      <c r="AN39" s="15" t="str">
        <f t="shared" si="0"/>
        <v>Attica</v>
      </c>
      <c r="AO39" s="15" t="b">
        <f t="shared" si="1"/>
        <v>1</v>
      </c>
    </row>
    <row r="40" spans="1:41" ht="12" customHeight="1" x14ac:dyDescent="0.2">
      <c r="A40" s="15" t="s">
        <v>667</v>
      </c>
      <c r="C40" s="15" t="s">
        <v>666</v>
      </c>
      <c r="D40" s="28"/>
      <c r="E40" s="24">
        <v>3849</v>
      </c>
      <c r="G40" s="24">
        <v>149</v>
      </c>
      <c r="I40" s="24">
        <v>3680</v>
      </c>
      <c r="K40" s="24">
        <v>2874</v>
      </c>
      <c r="M40" s="24">
        <v>0</v>
      </c>
      <c r="O40" s="24">
        <v>12852</v>
      </c>
      <c r="Q40" s="24">
        <f>29926+1</f>
        <v>29927</v>
      </c>
      <c r="S40" s="24">
        <v>0</v>
      </c>
      <c r="U40" s="24">
        <v>0</v>
      </c>
      <c r="W40" s="24">
        <v>0</v>
      </c>
      <c r="Y40" s="24">
        <v>1248</v>
      </c>
      <c r="AA40" s="24">
        <v>0</v>
      </c>
      <c r="AC40" s="24">
        <v>0</v>
      </c>
      <c r="AE40" s="24">
        <f t="shared" si="2"/>
        <v>54579</v>
      </c>
      <c r="AF40" s="24"/>
      <c r="AG40" s="24">
        <v>4702</v>
      </c>
      <c r="AH40" s="24"/>
      <c r="AI40" s="24">
        <v>61343</v>
      </c>
      <c r="AJ40" s="24"/>
      <c r="AK40" s="24">
        <v>66043</v>
      </c>
      <c r="AL40" s="24">
        <f>+'Gov Rev'!AI40-'Gov Exp'!AE40+'Gov Exp'!AI40-'Gov Exp'!AK40</f>
        <v>0</v>
      </c>
      <c r="AM40" s="15" t="str">
        <f>'Gov Rev'!A40</f>
        <v>Bailey Lakes</v>
      </c>
      <c r="AN40" s="15" t="str">
        <f t="shared" si="0"/>
        <v>Bailey Lakes</v>
      </c>
      <c r="AO40" s="15" t="b">
        <f t="shared" si="1"/>
        <v>1</v>
      </c>
    </row>
    <row r="41" spans="1:41" ht="12" customHeight="1" x14ac:dyDescent="0.2">
      <c r="A41" s="1" t="s">
        <v>837</v>
      </c>
      <c r="B41" s="1"/>
      <c r="C41" s="1" t="s">
        <v>799</v>
      </c>
      <c r="D41" s="28"/>
      <c r="E41" s="24">
        <v>92990.47</v>
      </c>
      <c r="G41" s="24">
        <v>0</v>
      </c>
      <c r="I41" s="24">
        <v>3984.6</v>
      </c>
      <c r="K41" s="24">
        <v>0</v>
      </c>
      <c r="M41" s="24">
        <v>0</v>
      </c>
      <c r="O41" s="24">
        <v>11404.69</v>
      </c>
      <c r="Q41" s="24">
        <v>72616.41</v>
      </c>
      <c r="S41" s="24">
        <v>12157.55</v>
      </c>
      <c r="U41" s="24">
        <v>0</v>
      </c>
      <c r="W41" s="24">
        <v>0</v>
      </c>
      <c r="Y41" s="24">
        <v>0</v>
      </c>
      <c r="AA41" s="24">
        <v>0</v>
      </c>
      <c r="AC41" s="24">
        <v>15.96</v>
      </c>
      <c r="AE41" s="24">
        <f t="shared" si="2"/>
        <v>193169.68</v>
      </c>
      <c r="AF41" s="24"/>
      <c r="AG41" s="24">
        <v>-15005.57</v>
      </c>
      <c r="AH41" s="24"/>
      <c r="AI41" s="24">
        <v>582602.17000000004</v>
      </c>
      <c r="AJ41" s="24"/>
      <c r="AK41" s="24">
        <v>567596.6</v>
      </c>
      <c r="AL41" s="24">
        <f>+'Gov Rev'!AI41-'Gov Exp'!AE41+'Gov Exp'!AI41-'Gov Exp'!AK41</f>
        <v>0</v>
      </c>
      <c r="AM41" s="15" t="str">
        <f>'Gov Rev'!A41</f>
        <v>Bainbridge</v>
      </c>
      <c r="AN41" s="15" t="str">
        <f t="shared" si="0"/>
        <v>Bainbridge</v>
      </c>
      <c r="AO41" s="15" t="b">
        <f t="shared" si="1"/>
        <v>1</v>
      </c>
    </row>
    <row r="42" spans="1:41" ht="12" customHeight="1" x14ac:dyDescent="0.2">
      <c r="A42" s="1" t="s">
        <v>600</v>
      </c>
      <c r="B42" s="1"/>
      <c r="C42" s="1" t="s">
        <v>601</v>
      </c>
      <c r="E42" s="24">
        <v>3050.26</v>
      </c>
      <c r="G42" s="24">
        <v>45.48</v>
      </c>
      <c r="I42" s="24">
        <v>184</v>
      </c>
      <c r="K42" s="24">
        <v>0</v>
      </c>
      <c r="M42" s="24">
        <v>16.23</v>
      </c>
      <c r="O42" s="24">
        <v>3656.56</v>
      </c>
      <c r="Q42" s="24">
        <v>16988.28</v>
      </c>
      <c r="S42" s="24">
        <v>0</v>
      </c>
      <c r="U42" s="24">
        <v>0</v>
      </c>
      <c r="W42" s="24">
        <v>0</v>
      </c>
      <c r="Y42" s="24">
        <v>0</v>
      </c>
      <c r="AA42" s="24">
        <v>0</v>
      </c>
      <c r="AC42" s="24">
        <v>0</v>
      </c>
      <c r="AE42" s="24">
        <f t="shared" si="2"/>
        <v>23940.809999999998</v>
      </c>
      <c r="AF42" s="24"/>
      <c r="AG42" s="24">
        <v>-3054.91</v>
      </c>
      <c r="AH42" s="24"/>
      <c r="AI42" s="24">
        <v>40850.85</v>
      </c>
      <c r="AJ42" s="24"/>
      <c r="AK42" s="24">
        <v>37795.94</v>
      </c>
      <c r="AL42" s="24">
        <f>+'Gov Rev'!AI42-'Gov Exp'!AE42+'Gov Exp'!AI42-'Gov Exp'!AK42</f>
        <v>0</v>
      </c>
      <c r="AM42" s="15" t="str">
        <f>'Gov Rev'!A42</f>
        <v>Bairdstown</v>
      </c>
      <c r="AN42" s="15" t="str">
        <f t="shared" si="0"/>
        <v>Bairdstown</v>
      </c>
      <c r="AO42" s="15" t="b">
        <f t="shared" si="1"/>
        <v>1</v>
      </c>
    </row>
    <row r="43" spans="1:41" ht="12" customHeight="1" x14ac:dyDescent="0.2">
      <c r="A43" s="15" t="s">
        <v>559</v>
      </c>
      <c r="C43" s="15" t="s">
        <v>560</v>
      </c>
      <c r="E43" s="24">
        <v>131679</v>
      </c>
      <c r="G43" s="24">
        <v>19016</v>
      </c>
      <c r="I43" s="24">
        <v>6250</v>
      </c>
      <c r="K43" s="24">
        <v>185</v>
      </c>
      <c r="M43" s="24">
        <v>0</v>
      </c>
      <c r="O43" s="24">
        <v>94732</v>
      </c>
      <c r="Q43" s="24">
        <v>98072</v>
      </c>
      <c r="S43" s="24">
        <v>148691</v>
      </c>
      <c r="U43" s="24">
        <v>24235</v>
      </c>
      <c r="W43" s="24">
        <v>28600</v>
      </c>
      <c r="Y43" s="24">
        <v>10000</v>
      </c>
      <c r="AA43" s="24">
        <v>0</v>
      </c>
      <c r="AC43" s="24">
        <f>557+1</f>
        <v>558</v>
      </c>
      <c r="AE43" s="24">
        <f t="shared" si="2"/>
        <v>562018</v>
      </c>
      <c r="AF43" s="24"/>
      <c r="AG43" s="24">
        <v>39999</v>
      </c>
      <c r="AH43" s="24"/>
      <c r="AI43" s="24">
        <v>471560</v>
      </c>
      <c r="AJ43" s="24"/>
      <c r="AK43" s="24">
        <v>511559</v>
      </c>
      <c r="AL43" s="24">
        <f>+'Gov Rev'!AI43-'Gov Exp'!AE43+'Gov Exp'!AI43-'Gov Exp'!AK43</f>
        <v>0</v>
      </c>
      <c r="AM43" s="15" t="str">
        <f>'Gov Rev'!A43</f>
        <v>Baltic</v>
      </c>
      <c r="AN43" s="15" t="str">
        <f t="shared" si="0"/>
        <v>Baltic</v>
      </c>
      <c r="AO43" s="15" t="b">
        <f t="shared" si="1"/>
        <v>1</v>
      </c>
    </row>
    <row r="44" spans="1:41" s="31" customFormat="1" ht="12" customHeight="1" x14ac:dyDescent="0.2">
      <c r="A44" s="15" t="s">
        <v>349</v>
      </c>
      <c r="B44" s="15"/>
      <c r="C44" s="15" t="s">
        <v>350</v>
      </c>
      <c r="D44" s="15"/>
      <c r="E44" s="24">
        <v>322255</v>
      </c>
      <c r="F44" s="24"/>
      <c r="G44" s="24">
        <v>17141</v>
      </c>
      <c r="H44" s="24"/>
      <c r="I44" s="24">
        <v>25827</v>
      </c>
      <c r="J44" s="24"/>
      <c r="K44" s="24">
        <v>39842</v>
      </c>
      <c r="L44" s="24"/>
      <c r="M44" s="24">
        <v>9850</v>
      </c>
      <c r="N44" s="24"/>
      <c r="O44" s="24">
        <v>335379</v>
      </c>
      <c r="P44" s="24"/>
      <c r="Q44" s="24">
        <v>206609</v>
      </c>
      <c r="R44" s="24"/>
      <c r="S44" s="24">
        <v>35203</v>
      </c>
      <c r="T44" s="24"/>
      <c r="U44" s="24">
        <v>12338</v>
      </c>
      <c r="V44" s="24"/>
      <c r="W44" s="24">
        <v>1102</v>
      </c>
      <c r="X44" s="24"/>
      <c r="Y44" s="24">
        <v>0</v>
      </c>
      <c r="Z44" s="24"/>
      <c r="AA44" s="24">
        <v>0</v>
      </c>
      <c r="AB44" s="24"/>
      <c r="AC44" s="24">
        <v>0</v>
      </c>
      <c r="AD44" s="24"/>
      <c r="AE44" s="24">
        <f t="shared" si="2"/>
        <v>1005546</v>
      </c>
      <c r="AF44" s="24"/>
      <c r="AG44" s="24">
        <v>111433</v>
      </c>
      <c r="AH44" s="24"/>
      <c r="AI44" s="24">
        <v>136810</v>
      </c>
      <c r="AJ44" s="24"/>
      <c r="AK44" s="24">
        <v>248242</v>
      </c>
      <c r="AL44" s="24">
        <f>+'Gov Rev'!AI44-'Gov Exp'!AE44+'Gov Exp'!AI44-'Gov Exp'!AK44</f>
        <v>0</v>
      </c>
      <c r="AM44" s="15" t="str">
        <f>'Gov Rev'!A44</f>
        <v>Baltimore</v>
      </c>
      <c r="AN44" s="15" t="str">
        <f t="shared" si="0"/>
        <v>Baltimore</v>
      </c>
      <c r="AO44" s="15" t="b">
        <f t="shared" si="1"/>
        <v>1</v>
      </c>
    </row>
    <row r="45" spans="1:41" ht="12" customHeight="1" x14ac:dyDescent="0.2">
      <c r="A45" s="15" t="s">
        <v>278</v>
      </c>
      <c r="C45" s="15" t="s">
        <v>279</v>
      </c>
      <c r="E45" s="24">
        <v>764819</v>
      </c>
      <c r="G45" s="24">
        <v>80250</v>
      </c>
      <c r="I45" s="24">
        <v>178693</v>
      </c>
      <c r="K45" s="24">
        <v>0</v>
      </c>
      <c r="M45" s="24">
        <v>0</v>
      </c>
      <c r="O45" s="24">
        <v>315154</v>
      </c>
      <c r="Q45" s="24">
        <v>195328</v>
      </c>
      <c r="S45" s="24">
        <v>527746</v>
      </c>
      <c r="U45" s="24">
        <v>336356</v>
      </c>
      <c r="W45" s="24">
        <v>71530</v>
      </c>
      <c r="Y45" s="24">
        <v>742019</v>
      </c>
      <c r="AA45" s="24">
        <v>0</v>
      </c>
      <c r="AC45" s="24">
        <v>0</v>
      </c>
      <c r="AE45" s="24">
        <f t="shared" si="2"/>
        <v>3211895</v>
      </c>
      <c r="AF45" s="24"/>
      <c r="AG45" s="24">
        <v>4940188</v>
      </c>
      <c r="AH45" s="24"/>
      <c r="AI45" s="24">
        <v>1976372</v>
      </c>
      <c r="AJ45" s="24"/>
      <c r="AK45" s="24">
        <v>6916560</v>
      </c>
      <c r="AL45" s="24">
        <f>+'Gov Rev'!AI45-'Gov Exp'!AE45+'Gov Exp'!AI45-'Gov Exp'!AK45</f>
        <v>0</v>
      </c>
      <c r="AM45" s="15" t="str">
        <f>'Gov Rev'!A45</f>
        <v>Barnesville</v>
      </c>
      <c r="AN45" s="15" t="str">
        <f t="shared" si="0"/>
        <v>Barnesville</v>
      </c>
      <c r="AO45" s="15" t="b">
        <f t="shared" si="1"/>
        <v>1</v>
      </c>
    </row>
    <row r="46" spans="1:41" ht="12" customHeight="1" x14ac:dyDescent="0.2">
      <c r="A46" s="1" t="s">
        <v>561</v>
      </c>
      <c r="B46" s="1"/>
      <c r="C46" s="1" t="s">
        <v>560</v>
      </c>
      <c r="E46" s="24">
        <v>0</v>
      </c>
      <c r="G46" s="24">
        <v>97.76</v>
      </c>
      <c r="I46" s="24">
        <v>100</v>
      </c>
      <c r="K46" s="24">
        <v>0</v>
      </c>
      <c r="M46" s="24">
        <v>6770.63</v>
      </c>
      <c r="O46" s="24">
        <v>14152.85</v>
      </c>
      <c r="Q46" s="24">
        <v>24001.77</v>
      </c>
      <c r="S46" s="24">
        <v>0</v>
      </c>
      <c r="U46" s="24">
        <v>0</v>
      </c>
      <c r="W46" s="24">
        <v>0</v>
      </c>
      <c r="Y46" s="24">
        <v>0</v>
      </c>
      <c r="AA46" s="24">
        <v>0</v>
      </c>
      <c r="AC46" s="24">
        <v>0</v>
      </c>
      <c r="AE46" s="24">
        <f t="shared" si="2"/>
        <v>45123.01</v>
      </c>
      <c r="AF46" s="24"/>
      <c r="AG46" s="24">
        <v>3294.39</v>
      </c>
      <c r="AH46" s="24"/>
      <c r="AI46" s="24">
        <v>69433.81</v>
      </c>
      <c r="AJ46" s="24"/>
      <c r="AK46" s="24">
        <v>72728.2</v>
      </c>
      <c r="AL46" s="24">
        <f>+'Gov Rev'!AI46-'Gov Exp'!AE46+'Gov Exp'!AI46-'Gov Exp'!AK46</f>
        <v>0</v>
      </c>
      <c r="AM46" s="15" t="str">
        <f>'Gov Rev'!A46</f>
        <v>Barnhill</v>
      </c>
      <c r="AN46" s="15" t="str">
        <f t="shared" si="0"/>
        <v>Barnhill</v>
      </c>
      <c r="AO46" s="15" t="b">
        <f t="shared" si="1"/>
        <v>1</v>
      </c>
    </row>
    <row r="47" spans="1:41" ht="12" customHeight="1" x14ac:dyDescent="0.2">
      <c r="A47" s="1" t="s">
        <v>294</v>
      </c>
      <c r="B47" s="1"/>
      <c r="C47" s="1" t="s">
        <v>295</v>
      </c>
      <c r="E47" s="24">
        <v>300848.86</v>
      </c>
      <c r="G47" s="24">
        <v>7128.52</v>
      </c>
      <c r="I47" s="24">
        <v>0</v>
      </c>
      <c r="K47" s="24">
        <v>1075.95</v>
      </c>
      <c r="M47" s="24">
        <v>0</v>
      </c>
      <c r="O47" s="24">
        <v>287955.55</v>
      </c>
      <c r="Q47" s="24">
        <v>234022.67</v>
      </c>
      <c r="S47" s="24">
        <v>155656.81</v>
      </c>
      <c r="U47" s="24">
        <v>660000</v>
      </c>
      <c r="W47" s="24">
        <v>37970</v>
      </c>
      <c r="Y47" s="24">
        <v>543961.88</v>
      </c>
      <c r="AA47" s="24">
        <v>0</v>
      </c>
      <c r="AC47" s="24">
        <v>0</v>
      </c>
      <c r="AE47" s="24">
        <f t="shared" si="2"/>
        <v>2228620.2400000002</v>
      </c>
      <c r="AF47" s="24"/>
      <c r="AG47" s="24">
        <v>-402181.94</v>
      </c>
      <c r="AH47" s="24"/>
      <c r="AI47" s="24">
        <v>1312977.81</v>
      </c>
      <c r="AJ47" s="24"/>
      <c r="AK47" s="24">
        <v>910795.87</v>
      </c>
      <c r="AL47" s="24">
        <f>+'Gov Rev'!AI47-'Gov Exp'!AE47+'Gov Exp'!AI47-'Gov Exp'!AK47</f>
        <v>0</v>
      </c>
      <c r="AM47" s="15" t="str">
        <f>'Gov Rev'!A47</f>
        <v>Batavia</v>
      </c>
      <c r="AN47" s="15" t="str">
        <f t="shared" si="0"/>
        <v>Batavia</v>
      </c>
      <c r="AO47" s="15" t="b">
        <f t="shared" si="1"/>
        <v>1</v>
      </c>
    </row>
    <row r="48" spans="1:41" ht="12" customHeight="1" x14ac:dyDescent="0.2">
      <c r="A48" s="15" t="s">
        <v>489</v>
      </c>
      <c r="C48" s="15" t="s">
        <v>490</v>
      </c>
      <c r="E48" s="24">
        <v>400</v>
      </c>
      <c r="G48" s="24">
        <v>0</v>
      </c>
      <c r="I48" s="24">
        <v>0</v>
      </c>
      <c r="K48" s="24">
        <v>741</v>
      </c>
      <c r="M48" s="24">
        <v>0</v>
      </c>
      <c r="O48" s="24">
        <v>0</v>
      </c>
      <c r="Q48" s="24">
        <f>6312+13253-1</f>
        <v>19564</v>
      </c>
      <c r="S48" s="24">
        <v>16055</v>
      </c>
      <c r="U48" s="24">
        <v>0</v>
      </c>
      <c r="W48" s="24">
        <v>0</v>
      </c>
      <c r="Y48" s="24">
        <v>0</v>
      </c>
      <c r="AA48" s="24">
        <v>0</v>
      </c>
      <c r="AC48" s="24">
        <v>0</v>
      </c>
      <c r="AE48" s="24">
        <f t="shared" si="2"/>
        <v>36760</v>
      </c>
      <c r="AF48" s="24"/>
      <c r="AG48" s="24">
        <f>44179-36761</f>
        <v>7418</v>
      </c>
      <c r="AH48" s="24"/>
      <c r="AI48" s="24">
        <f>6066+2581+13253</f>
        <v>21900</v>
      </c>
      <c r="AJ48" s="24"/>
      <c r="AK48" s="24">
        <f>27042+2277</f>
        <v>29319</v>
      </c>
      <c r="AL48" s="24">
        <f>+'Gov Rev'!AI48-'Gov Exp'!AE48+'Gov Exp'!AI48-'Gov Exp'!AK48</f>
        <v>0</v>
      </c>
      <c r="AM48" s="15" t="str">
        <f>'Gov Rev'!A48</f>
        <v>Batesville</v>
      </c>
      <c r="AN48" s="15" t="str">
        <f t="shared" si="0"/>
        <v>Batesville</v>
      </c>
      <c r="AO48" s="15" t="b">
        <f t="shared" si="1"/>
        <v>1</v>
      </c>
    </row>
    <row r="49" spans="1:41" ht="12" customHeight="1" x14ac:dyDescent="0.2">
      <c r="A49" s="1" t="s">
        <v>58</v>
      </c>
      <c r="B49" s="1"/>
      <c r="C49" s="1" t="s">
        <v>755</v>
      </c>
      <c r="E49" s="24">
        <v>102812.73</v>
      </c>
      <c r="G49" s="24">
        <v>0</v>
      </c>
      <c r="I49" s="24">
        <v>12469.46</v>
      </c>
      <c r="K49" s="24">
        <v>0</v>
      </c>
      <c r="M49" s="24">
        <v>560.6</v>
      </c>
      <c r="O49" s="24">
        <v>38095.65</v>
      </c>
      <c r="Q49" s="24">
        <v>100247.56</v>
      </c>
      <c r="S49" s="24">
        <v>200</v>
      </c>
      <c r="U49" s="24">
        <v>8620</v>
      </c>
      <c r="W49" s="24">
        <v>2600</v>
      </c>
      <c r="Y49" s="24">
        <v>0</v>
      </c>
      <c r="AA49" s="24">
        <v>0</v>
      </c>
      <c r="AC49" s="24">
        <v>0</v>
      </c>
      <c r="AE49" s="24">
        <f t="shared" si="2"/>
        <v>265606</v>
      </c>
      <c r="AF49" s="24"/>
      <c r="AG49" s="24">
        <v>-17301.25</v>
      </c>
      <c r="AH49" s="24"/>
      <c r="AI49" s="24">
        <v>99882.79</v>
      </c>
      <c r="AJ49" s="24"/>
      <c r="AK49" s="24">
        <v>82581.539999999994</v>
      </c>
      <c r="AL49" s="24">
        <f>+'Gov Rev'!AI49-'Gov Exp'!AE49+'Gov Exp'!AI49-'Gov Exp'!AK49</f>
        <v>0</v>
      </c>
      <c r="AM49" s="15" t="str">
        <f>'Gov Rev'!A49</f>
        <v>Bay View</v>
      </c>
      <c r="AN49" s="15" t="str">
        <f t="shared" si="0"/>
        <v>Bay View</v>
      </c>
      <c r="AO49" s="15" t="b">
        <f t="shared" si="1"/>
        <v>1</v>
      </c>
    </row>
    <row r="50" spans="1:41" ht="12" customHeight="1" x14ac:dyDescent="0.2">
      <c r="A50" s="15" t="s">
        <v>539</v>
      </c>
      <c r="C50" s="15" t="s">
        <v>540</v>
      </c>
      <c r="E50" s="24">
        <v>161024</v>
      </c>
      <c r="G50" s="24">
        <v>0</v>
      </c>
      <c r="I50" s="24">
        <v>9904</v>
      </c>
      <c r="K50" s="24">
        <v>0</v>
      </c>
      <c r="M50" s="24">
        <v>0</v>
      </c>
      <c r="O50" s="24">
        <v>71326</v>
      </c>
      <c r="Q50" s="24">
        <v>49931</v>
      </c>
      <c r="S50" s="24">
        <v>12657</v>
      </c>
      <c r="U50" s="24">
        <v>28089</v>
      </c>
      <c r="W50" s="24">
        <v>5856</v>
      </c>
      <c r="Y50" s="24">
        <v>0</v>
      </c>
      <c r="AA50" s="24">
        <v>0</v>
      </c>
      <c r="AC50" s="24">
        <f>2309+1</f>
        <v>2310</v>
      </c>
      <c r="AE50" s="24">
        <f t="shared" si="2"/>
        <v>341097</v>
      </c>
      <c r="AF50" s="24"/>
      <c r="AG50" s="24">
        <v>11522</v>
      </c>
      <c r="AH50" s="24"/>
      <c r="AI50" s="24">
        <v>79155</v>
      </c>
      <c r="AJ50" s="24"/>
      <c r="AK50" s="24">
        <v>90677</v>
      </c>
      <c r="AL50" s="24">
        <f>+'Gov Rev'!AI50-'Gov Exp'!AE50+'Gov Exp'!AI50-'Gov Exp'!AK50</f>
        <v>0</v>
      </c>
      <c r="AM50" s="15" t="str">
        <f>'Gov Rev'!A50</f>
        <v>Beach</v>
      </c>
      <c r="AN50" s="15" t="str">
        <f t="shared" si="0"/>
        <v>Beach</v>
      </c>
      <c r="AO50" s="15" t="b">
        <f t="shared" si="1"/>
        <v>1</v>
      </c>
    </row>
    <row r="51" spans="1:41" ht="12" customHeight="1" x14ac:dyDescent="0.2">
      <c r="A51" s="1" t="s">
        <v>164</v>
      </c>
      <c r="B51" s="1"/>
      <c r="C51" s="1" t="s">
        <v>785</v>
      </c>
      <c r="D51" s="28"/>
      <c r="E51" s="24">
        <v>5889.62</v>
      </c>
      <c r="G51" s="24">
        <v>2825.14</v>
      </c>
      <c r="I51" s="24">
        <v>653.95000000000005</v>
      </c>
      <c r="K51" s="24">
        <v>0</v>
      </c>
      <c r="M51" s="24">
        <v>192</v>
      </c>
      <c r="O51" s="24">
        <v>10275.51</v>
      </c>
      <c r="Q51" s="24">
        <v>33301.11</v>
      </c>
      <c r="S51" s="24">
        <v>0</v>
      </c>
      <c r="U51" s="24">
        <v>0</v>
      </c>
      <c r="W51" s="24">
        <v>7400</v>
      </c>
      <c r="Y51" s="24">
        <v>0</v>
      </c>
      <c r="AA51" s="24">
        <v>0</v>
      </c>
      <c r="AC51" s="24">
        <v>0</v>
      </c>
      <c r="AE51" s="24">
        <f t="shared" si="2"/>
        <v>60537.33</v>
      </c>
      <c r="AF51" s="24"/>
      <c r="AG51" s="24">
        <v>-14140.68</v>
      </c>
      <c r="AH51" s="24"/>
      <c r="AI51" s="24">
        <v>74837.95</v>
      </c>
      <c r="AJ51" s="24"/>
      <c r="AK51" s="24">
        <v>60697.27</v>
      </c>
      <c r="AL51" s="24">
        <f>+'Gov Rev'!AI51-'Gov Exp'!AE51+'Gov Exp'!AI51-'Gov Exp'!AK51</f>
        <v>0</v>
      </c>
      <c r="AM51" s="15" t="str">
        <f>'Gov Rev'!A51</f>
        <v>Beallsville</v>
      </c>
      <c r="AN51" s="15" t="str">
        <f t="shared" si="0"/>
        <v>Beallsville</v>
      </c>
      <c r="AO51" s="15" t="b">
        <f t="shared" si="1"/>
        <v>1</v>
      </c>
    </row>
    <row r="52" spans="1:41" s="31" customFormat="1" ht="12" customHeight="1" x14ac:dyDescent="0.2">
      <c r="A52" s="1" t="s">
        <v>193</v>
      </c>
      <c r="B52" s="1"/>
      <c r="C52" s="1" t="s">
        <v>794</v>
      </c>
      <c r="D52" s="15"/>
      <c r="E52" s="24">
        <v>32100.9</v>
      </c>
      <c r="F52" s="24"/>
      <c r="G52" s="24">
        <v>7649.4</v>
      </c>
      <c r="H52" s="24"/>
      <c r="I52" s="24">
        <v>3166.49</v>
      </c>
      <c r="J52" s="24"/>
      <c r="K52" s="24">
        <v>0</v>
      </c>
      <c r="L52" s="24"/>
      <c r="M52" s="24">
        <v>0</v>
      </c>
      <c r="N52" s="24"/>
      <c r="O52" s="24">
        <v>6818.11</v>
      </c>
      <c r="P52" s="24"/>
      <c r="Q52" s="24">
        <v>65406.42</v>
      </c>
      <c r="R52" s="24"/>
      <c r="S52" s="24">
        <v>2677.53</v>
      </c>
      <c r="T52" s="24"/>
      <c r="U52" s="24">
        <v>0</v>
      </c>
      <c r="V52" s="24"/>
      <c r="W52" s="24">
        <v>0</v>
      </c>
      <c r="X52" s="24"/>
      <c r="Y52" s="24">
        <v>4125.67</v>
      </c>
      <c r="Z52" s="24"/>
      <c r="AA52" s="24">
        <v>15000</v>
      </c>
      <c r="AB52" s="24"/>
      <c r="AC52" s="24">
        <v>0</v>
      </c>
      <c r="AD52" s="24"/>
      <c r="AE52" s="24">
        <f t="shared" si="2"/>
        <v>136944.52000000002</v>
      </c>
      <c r="AF52" s="24"/>
      <c r="AG52" s="24">
        <v>20419.080000000002</v>
      </c>
      <c r="AH52" s="24"/>
      <c r="AI52" s="24">
        <v>119479.86</v>
      </c>
      <c r="AJ52" s="24"/>
      <c r="AK52" s="24">
        <v>139898.94</v>
      </c>
      <c r="AL52" s="24">
        <f>+'Gov Rev'!AI52-'Gov Exp'!AE52+'Gov Exp'!AI52-'Gov Exp'!AK52</f>
        <v>0</v>
      </c>
      <c r="AM52" s="15" t="str">
        <f>'Gov Rev'!A52</f>
        <v>Beaver</v>
      </c>
      <c r="AN52" s="15" t="str">
        <f t="shared" si="0"/>
        <v>Beaver</v>
      </c>
      <c r="AO52" s="15" t="b">
        <f t="shared" si="1"/>
        <v>1</v>
      </c>
    </row>
    <row r="53" spans="1:41" s="31" customFormat="1" ht="12" customHeight="1" x14ac:dyDescent="0.2">
      <c r="A53" s="1" t="s">
        <v>2</v>
      </c>
      <c r="B53" s="1"/>
      <c r="C53" s="1" t="s">
        <v>737</v>
      </c>
      <c r="D53" s="15"/>
      <c r="E53" s="24">
        <v>10706</v>
      </c>
      <c r="F53" s="24"/>
      <c r="G53" s="24">
        <v>0</v>
      </c>
      <c r="H53" s="24"/>
      <c r="I53" s="24">
        <v>609.6</v>
      </c>
      <c r="J53" s="24"/>
      <c r="K53" s="24">
        <v>0</v>
      </c>
      <c r="L53" s="24"/>
      <c r="M53" s="24">
        <v>0</v>
      </c>
      <c r="N53" s="24"/>
      <c r="O53" s="24">
        <v>23622.76</v>
      </c>
      <c r="P53" s="24"/>
      <c r="Q53" s="24">
        <v>125605.94</v>
      </c>
      <c r="R53" s="24"/>
      <c r="S53" s="24">
        <v>52795.22</v>
      </c>
      <c r="T53" s="24"/>
      <c r="U53" s="24">
        <v>0</v>
      </c>
      <c r="V53" s="24"/>
      <c r="W53" s="24">
        <v>0</v>
      </c>
      <c r="X53" s="24"/>
      <c r="Y53" s="24">
        <v>0</v>
      </c>
      <c r="Z53" s="24"/>
      <c r="AA53" s="24">
        <v>0</v>
      </c>
      <c r="AB53" s="24"/>
      <c r="AC53" s="24">
        <v>189.72</v>
      </c>
      <c r="AD53" s="24"/>
      <c r="AE53" s="24">
        <f t="shared" si="2"/>
        <v>213529.24</v>
      </c>
      <c r="AF53" s="24"/>
      <c r="AG53" s="24">
        <v>2865.4</v>
      </c>
      <c r="AH53" s="24"/>
      <c r="AI53" s="24">
        <v>358048.46</v>
      </c>
      <c r="AJ53" s="24"/>
      <c r="AK53" s="24">
        <v>360913.86</v>
      </c>
      <c r="AL53" s="24">
        <f>+'Gov Rev'!AI53-'Gov Exp'!AE53+'Gov Exp'!AI53-'Gov Exp'!AK53</f>
        <v>0</v>
      </c>
      <c r="AM53" s="15" t="str">
        <f>'Gov Rev'!A53</f>
        <v>Beaverdam</v>
      </c>
      <c r="AN53" s="15" t="str">
        <f t="shared" si="0"/>
        <v>Beaverdam</v>
      </c>
      <c r="AO53" s="15" t="b">
        <f t="shared" si="1"/>
        <v>1</v>
      </c>
    </row>
    <row r="54" spans="1:41" s="37" customFormat="1" ht="12" customHeight="1" x14ac:dyDescent="0.2">
      <c r="A54" s="15" t="s">
        <v>280</v>
      </c>
      <c r="B54" s="15"/>
      <c r="C54" s="15" t="s">
        <v>279</v>
      </c>
      <c r="D54" s="15"/>
      <c r="E54" s="24">
        <v>806183</v>
      </c>
      <c r="F54" s="24"/>
      <c r="G54" s="24">
        <v>0</v>
      </c>
      <c r="H54" s="24"/>
      <c r="I54" s="24">
        <v>0</v>
      </c>
      <c r="J54" s="24"/>
      <c r="K54" s="24">
        <v>4769</v>
      </c>
      <c r="L54" s="24"/>
      <c r="M54" s="24">
        <v>0</v>
      </c>
      <c r="N54" s="24"/>
      <c r="O54" s="24">
        <v>155917</v>
      </c>
      <c r="P54" s="24"/>
      <c r="Q54" s="24">
        <v>734854</v>
      </c>
      <c r="R54" s="24"/>
      <c r="S54" s="24">
        <v>0</v>
      </c>
      <c r="T54" s="24"/>
      <c r="U54" s="24">
        <v>52671</v>
      </c>
      <c r="V54" s="24"/>
      <c r="W54" s="24">
        <v>29417</v>
      </c>
      <c r="X54" s="24"/>
      <c r="Y54" s="24">
        <v>0</v>
      </c>
      <c r="Z54" s="24"/>
      <c r="AA54" s="24">
        <v>0</v>
      </c>
      <c r="AB54" s="24"/>
      <c r="AC54" s="24">
        <v>0</v>
      </c>
      <c r="AD54" s="24"/>
      <c r="AE54" s="24">
        <f t="shared" si="2"/>
        <v>1783811</v>
      </c>
      <c r="AF54" s="24"/>
      <c r="AG54" s="24">
        <v>-233274</v>
      </c>
      <c r="AH54" s="24"/>
      <c r="AI54" s="24">
        <v>1052450</v>
      </c>
      <c r="AJ54" s="24"/>
      <c r="AK54" s="24">
        <v>819176</v>
      </c>
      <c r="AL54" s="24">
        <f>+'Gov Rev'!AI54-'Gov Exp'!AE54+'Gov Exp'!AI54-'Gov Exp'!AK54</f>
        <v>0</v>
      </c>
      <c r="AM54" s="15" t="str">
        <f>'Gov Rev'!A54</f>
        <v>Bellaire</v>
      </c>
      <c r="AN54" s="15" t="str">
        <f t="shared" si="0"/>
        <v>Bellaire</v>
      </c>
      <c r="AO54" s="15" t="b">
        <f t="shared" si="1"/>
        <v>1</v>
      </c>
    </row>
    <row r="55" spans="1:41" ht="12" customHeight="1" x14ac:dyDescent="0.2">
      <c r="A55" s="1" t="s">
        <v>132</v>
      </c>
      <c r="B55" s="1"/>
      <c r="C55" s="1" t="s">
        <v>775</v>
      </c>
      <c r="E55" s="24">
        <v>20133.650000000001</v>
      </c>
      <c r="G55" s="24">
        <v>4887.6899999999996</v>
      </c>
      <c r="I55" s="24">
        <v>0</v>
      </c>
      <c r="K55" s="24">
        <v>76.36</v>
      </c>
      <c r="M55" s="24">
        <v>250</v>
      </c>
      <c r="O55" s="24">
        <v>97052.1</v>
      </c>
      <c r="Q55" s="24">
        <v>90481.23</v>
      </c>
      <c r="S55" s="24">
        <v>157</v>
      </c>
      <c r="U55" s="24">
        <v>2400</v>
      </c>
      <c r="W55" s="24">
        <v>469.28</v>
      </c>
      <c r="Y55" s="24">
        <v>1585.83</v>
      </c>
      <c r="AA55" s="24">
        <v>0</v>
      </c>
      <c r="AC55" s="24">
        <v>347.6</v>
      </c>
      <c r="AE55" s="24">
        <f t="shared" si="2"/>
        <v>217840.74</v>
      </c>
      <c r="AF55" s="24"/>
      <c r="AG55" s="24">
        <v>37643.65</v>
      </c>
      <c r="AH55" s="24"/>
      <c r="AI55" s="24">
        <v>133448.62</v>
      </c>
      <c r="AJ55" s="24"/>
      <c r="AK55" s="24">
        <v>171092.27</v>
      </c>
      <c r="AL55" s="24">
        <f>+'Gov Rev'!AI55-'Gov Exp'!AE55+'Gov Exp'!AI55-'Gov Exp'!AK55</f>
        <v>0</v>
      </c>
      <c r="AM55" s="15" t="str">
        <f>'Gov Rev'!A55</f>
        <v>Belle Center</v>
      </c>
      <c r="AN55" s="15" t="str">
        <f t="shared" si="0"/>
        <v>Belle Center</v>
      </c>
      <c r="AO55" s="15" t="b">
        <f t="shared" si="1"/>
        <v>1</v>
      </c>
    </row>
    <row r="56" spans="1:41" ht="12" customHeight="1" x14ac:dyDescent="0.2">
      <c r="A56" s="15" t="s">
        <v>491</v>
      </c>
      <c r="C56" s="15" t="s">
        <v>490</v>
      </c>
      <c r="E56" s="24">
        <v>5257</v>
      </c>
      <c r="G56" s="24">
        <v>0</v>
      </c>
      <c r="I56" s="24">
        <v>0</v>
      </c>
      <c r="K56" s="24">
        <v>275</v>
      </c>
      <c r="M56" s="24">
        <v>3614</v>
      </c>
      <c r="O56" s="24">
        <v>5516</v>
      </c>
      <c r="Q56" s="24">
        <v>9649</v>
      </c>
      <c r="S56" s="24">
        <v>0</v>
      </c>
      <c r="U56" s="24">
        <v>0</v>
      </c>
      <c r="W56" s="24">
        <v>0</v>
      </c>
      <c r="Y56" s="24">
        <v>0</v>
      </c>
      <c r="AA56" s="24">
        <v>0</v>
      </c>
      <c r="AC56" s="24">
        <v>0</v>
      </c>
      <c r="AE56" s="24">
        <f t="shared" si="2"/>
        <v>24311</v>
      </c>
      <c r="AF56" s="24"/>
      <c r="AG56" s="24">
        <v>12577</v>
      </c>
      <c r="AH56" s="24"/>
      <c r="AI56" s="24">
        <v>16394</v>
      </c>
      <c r="AJ56" s="24"/>
      <c r="AK56" s="24">
        <v>28971</v>
      </c>
      <c r="AL56" s="24">
        <f>+'Gov Rev'!AI56-'Gov Exp'!AE56+'Gov Exp'!AI56-'Gov Exp'!AK56</f>
        <v>0</v>
      </c>
      <c r="AM56" s="15" t="str">
        <f>'Gov Rev'!A56</f>
        <v>Belle Valley</v>
      </c>
      <c r="AN56" s="15" t="str">
        <f t="shared" si="0"/>
        <v>Belle Valley</v>
      </c>
      <c r="AO56" s="15" t="b">
        <f t="shared" si="1"/>
        <v>1</v>
      </c>
    </row>
    <row r="57" spans="1:41" ht="12" customHeight="1" x14ac:dyDescent="0.2">
      <c r="A57" s="1" t="s">
        <v>208</v>
      </c>
      <c r="B57" s="1"/>
      <c r="C57" s="1" t="s">
        <v>798</v>
      </c>
      <c r="E57" s="24">
        <v>392236.67</v>
      </c>
      <c r="G57" s="24">
        <v>94542.39</v>
      </c>
      <c r="I57" s="24">
        <v>90165.72</v>
      </c>
      <c r="K57" s="24">
        <v>3283.82</v>
      </c>
      <c r="M57" s="24">
        <v>0</v>
      </c>
      <c r="O57" s="24">
        <v>251606.8</v>
      </c>
      <c r="Q57" s="24">
        <v>290887.59999999998</v>
      </c>
      <c r="S57" s="24">
        <v>19530</v>
      </c>
      <c r="U57" s="24">
        <v>80988.5</v>
      </c>
      <c r="W57" s="24">
        <v>23540.16</v>
      </c>
      <c r="Y57" s="24">
        <v>544541.59</v>
      </c>
      <c r="AA57" s="24">
        <v>0</v>
      </c>
      <c r="AC57" s="24">
        <v>0</v>
      </c>
      <c r="AE57" s="24">
        <f t="shared" si="2"/>
        <v>1791323.25</v>
      </c>
      <c r="AF57" s="24"/>
      <c r="AG57" s="24">
        <v>108100.65</v>
      </c>
      <c r="AH57" s="24"/>
      <c r="AI57" s="24">
        <v>485339.46</v>
      </c>
      <c r="AJ57" s="24"/>
      <c r="AK57" s="24">
        <v>593440.11</v>
      </c>
      <c r="AL57" s="24">
        <f>+'Gov Rev'!AI57-'Gov Exp'!AE57+'Gov Exp'!AI57-'Gov Exp'!AK57</f>
        <v>-0.36000000021886081</v>
      </c>
      <c r="AM57" s="15" t="str">
        <f>'Gov Rev'!A57</f>
        <v>Bellville</v>
      </c>
      <c r="AN57" s="15" t="str">
        <f t="shared" si="0"/>
        <v>Bellville</v>
      </c>
      <c r="AO57" s="15" t="b">
        <f t="shared" si="1"/>
        <v>1</v>
      </c>
    </row>
    <row r="58" spans="1:41" ht="12" customHeight="1" x14ac:dyDescent="0.2">
      <c r="A58" s="1" t="s">
        <v>279</v>
      </c>
      <c r="B58" s="1"/>
      <c r="C58" s="1" t="s">
        <v>279</v>
      </c>
      <c r="D58" s="28"/>
      <c r="E58" s="24">
        <v>82031.41</v>
      </c>
      <c r="G58" s="24">
        <v>7293.99</v>
      </c>
      <c r="I58" s="24">
        <v>16048.2</v>
      </c>
      <c r="K58" s="24">
        <v>0</v>
      </c>
      <c r="M58" s="24">
        <v>1971.58</v>
      </c>
      <c r="O58" s="24">
        <v>47146.65</v>
      </c>
      <c r="Q58" s="24">
        <v>35746.25</v>
      </c>
      <c r="S58" s="24">
        <v>4505.9399999999996</v>
      </c>
      <c r="U58" s="24">
        <v>3000</v>
      </c>
      <c r="W58" s="24">
        <v>81.37</v>
      </c>
      <c r="Y58" s="24">
        <v>351.08</v>
      </c>
      <c r="AA58" s="24">
        <v>0</v>
      </c>
      <c r="AC58" s="24">
        <v>0</v>
      </c>
      <c r="AE58" s="24">
        <f t="shared" si="2"/>
        <v>198176.47</v>
      </c>
      <c r="AF58" s="24"/>
      <c r="AG58" s="24">
        <v>212.86</v>
      </c>
      <c r="AH58" s="24"/>
      <c r="AI58" s="24">
        <v>170205.61</v>
      </c>
      <c r="AJ58" s="24"/>
      <c r="AK58" s="24">
        <v>170418.47</v>
      </c>
      <c r="AL58" s="24">
        <f>+'Gov Rev'!AI58-'Gov Exp'!AE58+'Gov Exp'!AI58-'Gov Exp'!AK58</f>
        <v>0</v>
      </c>
      <c r="AM58" s="15" t="str">
        <f>'Gov Rev'!A58</f>
        <v>Belmont</v>
      </c>
      <c r="AN58" s="15" t="str">
        <f t="shared" si="0"/>
        <v>Belmont</v>
      </c>
      <c r="AO58" s="15" t="b">
        <f t="shared" si="1"/>
        <v>1</v>
      </c>
    </row>
    <row r="59" spans="1:41" ht="12" customHeight="1" x14ac:dyDescent="0.2">
      <c r="A59" s="1" t="s">
        <v>916</v>
      </c>
      <c r="B59" s="1"/>
      <c r="C59" s="1" t="s">
        <v>513</v>
      </c>
      <c r="E59" s="24">
        <v>6056.49</v>
      </c>
      <c r="G59" s="24">
        <v>0</v>
      </c>
      <c r="I59" s="24">
        <v>127.31</v>
      </c>
      <c r="K59" s="24">
        <v>1700.92</v>
      </c>
      <c r="M59" s="24">
        <v>0</v>
      </c>
      <c r="O59" s="24">
        <v>4246.3900000000003</v>
      </c>
      <c r="Q59" s="24">
        <v>30714.14</v>
      </c>
      <c r="S59" s="24">
        <v>1250</v>
      </c>
      <c r="U59" s="24">
        <v>0</v>
      </c>
      <c r="W59" s="24">
        <v>0</v>
      </c>
      <c r="Y59" s="24">
        <v>3852.24</v>
      </c>
      <c r="AA59" s="24">
        <v>0</v>
      </c>
      <c r="AC59" s="24">
        <v>0</v>
      </c>
      <c r="AE59" s="24">
        <f t="shared" si="2"/>
        <v>47947.49</v>
      </c>
      <c r="AF59" s="24"/>
      <c r="AG59" s="24">
        <v>-3816.8</v>
      </c>
      <c r="AH59" s="24"/>
      <c r="AI59" s="24">
        <v>86758.26</v>
      </c>
      <c r="AJ59" s="24"/>
      <c r="AK59" s="24">
        <v>82941.460000000006</v>
      </c>
      <c r="AL59" s="24">
        <f>+'Gov Rev'!AI59-'Gov Exp'!AE59+'Gov Exp'!AI59-'Gov Exp'!AK59</f>
        <v>0</v>
      </c>
      <c r="AM59" s="15" t="str">
        <f>'Gov Rev'!A59</f>
        <v>Belmore</v>
      </c>
      <c r="AN59" s="15" t="str">
        <f t="shared" si="0"/>
        <v>Belmore</v>
      </c>
      <c r="AO59" s="15" t="b">
        <f t="shared" si="1"/>
        <v>1</v>
      </c>
    </row>
    <row r="60" spans="1:41" ht="12" customHeight="1" x14ac:dyDescent="0.2">
      <c r="A60" s="1" t="s">
        <v>143</v>
      </c>
      <c r="B60" s="1"/>
      <c r="C60" s="1" t="s">
        <v>779</v>
      </c>
      <c r="E60" s="24">
        <v>170688.16</v>
      </c>
      <c r="G60" s="24">
        <v>0</v>
      </c>
      <c r="I60" s="24">
        <v>9781.0499999999993</v>
      </c>
      <c r="K60" s="24">
        <v>5380</v>
      </c>
      <c r="M60" s="24">
        <v>0</v>
      </c>
      <c r="O60" s="24">
        <v>45088.56</v>
      </c>
      <c r="Q60" s="24">
        <v>54064.5</v>
      </c>
      <c r="S60" s="24">
        <v>0</v>
      </c>
      <c r="U60" s="24">
        <v>11775.68</v>
      </c>
      <c r="W60" s="24">
        <v>1224.32</v>
      </c>
      <c r="Y60" s="24">
        <v>0</v>
      </c>
      <c r="AA60" s="24">
        <v>0</v>
      </c>
      <c r="AC60" s="24">
        <v>0</v>
      </c>
      <c r="AE60" s="24">
        <f t="shared" si="2"/>
        <v>298002.27</v>
      </c>
      <c r="AF60" s="24"/>
      <c r="AG60" s="24">
        <v>77587.679999999993</v>
      </c>
      <c r="AH60" s="24"/>
      <c r="AI60" s="24">
        <v>547937.92000000004</v>
      </c>
      <c r="AJ60" s="24"/>
      <c r="AK60" s="24">
        <v>625525.6</v>
      </c>
      <c r="AL60" s="24">
        <f>+'Gov Rev'!AI60-'Gov Exp'!AE60+'Gov Exp'!AI60-'Gov Exp'!AK60</f>
        <v>0</v>
      </c>
      <c r="AM60" s="15" t="str">
        <f>'Gov Rev'!A60</f>
        <v>Beloit</v>
      </c>
      <c r="AN60" s="15" t="str">
        <f t="shared" si="0"/>
        <v>Beloit</v>
      </c>
      <c r="AO60" s="15" t="b">
        <f t="shared" si="1"/>
        <v>1</v>
      </c>
    </row>
    <row r="61" spans="1:41" ht="12" customHeight="1" x14ac:dyDescent="0.2">
      <c r="A61" s="15" t="s">
        <v>315</v>
      </c>
      <c r="C61" s="15" t="s">
        <v>316</v>
      </c>
      <c r="E61" s="24">
        <v>684479</v>
      </c>
      <c r="G61" s="24">
        <v>1780</v>
      </c>
      <c r="I61" s="24">
        <v>1454</v>
      </c>
      <c r="K61" s="24">
        <v>0</v>
      </c>
      <c r="M61" s="24">
        <v>59546</v>
      </c>
      <c r="O61" s="24">
        <v>311110</v>
      </c>
      <c r="Q61" s="24">
        <v>373627</v>
      </c>
      <c r="S61" s="24">
        <v>261949</v>
      </c>
      <c r="U61" s="24">
        <v>84156</v>
      </c>
      <c r="W61" s="24">
        <v>50650</v>
      </c>
      <c r="Y61" s="24">
        <v>169302</v>
      </c>
      <c r="AA61" s="24">
        <v>125000</v>
      </c>
      <c r="AC61" s="24">
        <v>0</v>
      </c>
      <c r="AE61" s="24">
        <f t="shared" si="2"/>
        <v>2123053</v>
      </c>
      <c r="AF61" s="24"/>
      <c r="AG61" s="24">
        <v>148000</v>
      </c>
      <c r="AH61" s="24"/>
      <c r="AI61" s="24">
        <v>1238853</v>
      </c>
      <c r="AJ61" s="24"/>
      <c r="AK61" s="24">
        <v>1386853</v>
      </c>
      <c r="AL61" s="24">
        <f>+'Gov Rev'!AI61-'Gov Exp'!AE61+'Gov Exp'!AI61-'Gov Exp'!AK61</f>
        <v>0</v>
      </c>
      <c r="AM61" s="15" t="str">
        <f>'Gov Rev'!A61</f>
        <v>Bentleyville</v>
      </c>
      <c r="AN61" s="15" t="str">
        <f t="shared" si="0"/>
        <v>Bentleyville</v>
      </c>
      <c r="AO61" s="15" t="b">
        <f t="shared" si="1"/>
        <v>1</v>
      </c>
    </row>
    <row r="62" spans="1:41" ht="12" customHeight="1" x14ac:dyDescent="0.2">
      <c r="A62" s="15" t="s">
        <v>878</v>
      </c>
      <c r="C62" s="15" t="s">
        <v>388</v>
      </c>
      <c r="E62" s="24">
        <f>1809+15412</f>
        <v>17221</v>
      </c>
      <c r="G62" s="24">
        <v>1159</v>
      </c>
      <c r="I62" s="24">
        <f>1992+20295</f>
        <v>22287</v>
      </c>
      <c r="K62" s="24">
        <v>0</v>
      </c>
      <c r="M62" s="24">
        <f>1002+2481+672</f>
        <v>4155</v>
      </c>
      <c r="O62" s="24">
        <v>0</v>
      </c>
      <c r="Q62" s="24">
        <f>31012+55048</f>
        <v>86060</v>
      </c>
      <c r="S62" s="24">
        <v>0</v>
      </c>
      <c r="U62" s="24">
        <v>0</v>
      </c>
      <c r="W62" s="24">
        <v>0</v>
      </c>
      <c r="Y62" s="24">
        <v>0</v>
      </c>
      <c r="AA62" s="24">
        <v>0</v>
      </c>
      <c r="AC62" s="24">
        <v>0</v>
      </c>
      <c r="AE62" s="24">
        <f t="shared" si="2"/>
        <v>130882</v>
      </c>
      <c r="AF62" s="24"/>
      <c r="AG62" s="24">
        <f>-3360-41858-672</f>
        <v>-45890</v>
      </c>
      <c r="AH62" s="24"/>
      <c r="AI62" s="24" t="s">
        <v>956</v>
      </c>
      <c r="AJ62" s="24"/>
      <c r="AK62" s="24" t="s">
        <v>956</v>
      </c>
      <c r="AL62" s="24" t="e">
        <f>+'Gov Rev'!AI62-'Gov Exp'!AE62+'Gov Exp'!AI62-'Gov Exp'!AK62</f>
        <v>#VALUE!</v>
      </c>
      <c r="AM62" s="15" t="str">
        <f>'Gov Rev'!A62</f>
        <v>Benton Ridge</v>
      </c>
      <c r="AN62" s="15" t="str">
        <f t="shared" si="0"/>
        <v>Benton Ridge</v>
      </c>
      <c r="AO62" s="15" t="b">
        <f t="shared" si="1"/>
        <v>1</v>
      </c>
    </row>
    <row r="63" spans="1:41" s="31" customFormat="1" ht="12" customHeight="1" x14ac:dyDescent="0.2">
      <c r="A63" s="1" t="s">
        <v>422</v>
      </c>
      <c r="B63" s="1"/>
      <c r="C63" s="1" t="s">
        <v>420</v>
      </c>
      <c r="D63" s="15"/>
      <c r="E63" s="24">
        <v>23062.11</v>
      </c>
      <c r="F63" s="24"/>
      <c r="G63" s="24">
        <v>0</v>
      </c>
      <c r="H63" s="24"/>
      <c r="I63" s="24">
        <v>0</v>
      </c>
      <c r="J63" s="24"/>
      <c r="K63" s="24">
        <v>0</v>
      </c>
      <c r="L63" s="24"/>
      <c r="M63" s="24">
        <v>12185.4</v>
      </c>
      <c r="N63" s="24"/>
      <c r="O63" s="24">
        <v>20841.240000000002</v>
      </c>
      <c r="P63" s="24"/>
      <c r="Q63" s="24">
        <v>23559.13</v>
      </c>
      <c r="R63" s="24"/>
      <c r="S63" s="24">
        <v>0</v>
      </c>
      <c r="T63" s="24"/>
      <c r="U63" s="24">
        <v>0</v>
      </c>
      <c r="V63" s="24"/>
      <c r="W63" s="24">
        <v>0</v>
      </c>
      <c r="X63" s="24"/>
      <c r="Y63" s="24">
        <v>0</v>
      </c>
      <c r="Z63" s="24"/>
      <c r="AA63" s="24">
        <v>0</v>
      </c>
      <c r="AB63" s="24"/>
      <c r="AC63" s="24">
        <v>31475.53</v>
      </c>
      <c r="AD63" s="24"/>
      <c r="AE63" s="24">
        <f t="shared" si="2"/>
        <v>111123.41</v>
      </c>
      <c r="AF63" s="24"/>
      <c r="AG63" s="24">
        <v>3715.74</v>
      </c>
      <c r="AH63" s="24"/>
      <c r="AI63" s="24">
        <v>120429.56</v>
      </c>
      <c r="AJ63" s="24"/>
      <c r="AK63" s="24">
        <v>124145.3</v>
      </c>
      <c r="AL63" s="24">
        <f>+'Gov Rev'!AI63-'Gov Exp'!AE63+'Gov Exp'!AI63-'Gov Exp'!AK63</f>
        <v>0</v>
      </c>
      <c r="AM63" s="15" t="str">
        <f>'Gov Rev'!A63</f>
        <v>Bergholz</v>
      </c>
      <c r="AN63" s="15" t="str">
        <f t="shared" si="0"/>
        <v>Bergholz</v>
      </c>
      <c r="AO63" s="15" t="b">
        <f t="shared" si="1"/>
        <v>1</v>
      </c>
    </row>
    <row r="64" spans="1:41" ht="12" customHeight="1" x14ac:dyDescent="0.2">
      <c r="A64" s="1" t="s">
        <v>139</v>
      </c>
      <c r="B64" s="1"/>
      <c r="C64" s="1" t="s">
        <v>777</v>
      </c>
      <c r="D64" s="28"/>
      <c r="E64" s="24">
        <v>37196.31</v>
      </c>
      <c r="G64" s="24">
        <v>4985.8500000000004</v>
      </c>
      <c r="I64" s="24">
        <v>15870.7</v>
      </c>
      <c r="K64" s="24">
        <v>0</v>
      </c>
      <c r="M64" s="24">
        <v>0</v>
      </c>
      <c r="O64" s="24">
        <v>14160.26</v>
      </c>
      <c r="Q64" s="24">
        <v>53182.12</v>
      </c>
      <c r="S64" s="24">
        <v>0</v>
      </c>
      <c r="U64" s="24">
        <v>0</v>
      </c>
      <c r="W64" s="24">
        <v>0</v>
      </c>
      <c r="Y64" s="24">
        <v>0</v>
      </c>
      <c r="AA64" s="24">
        <v>0</v>
      </c>
      <c r="AC64" s="24">
        <v>0</v>
      </c>
      <c r="AE64" s="24">
        <f t="shared" si="2"/>
        <v>125395.23999999999</v>
      </c>
      <c r="AF64" s="24"/>
      <c r="AG64" s="24">
        <v>2289.88</v>
      </c>
      <c r="AH64" s="24"/>
      <c r="AI64" s="24">
        <v>113278.21</v>
      </c>
      <c r="AJ64" s="24"/>
      <c r="AK64" s="24">
        <v>115568.09</v>
      </c>
      <c r="AL64" s="24">
        <f>+'Gov Rev'!AI64-'Gov Exp'!AE64+'Gov Exp'!AI64-'Gov Exp'!AK64</f>
        <v>0</v>
      </c>
      <c r="AM64" s="15" t="str">
        <f>'Gov Rev'!A64</f>
        <v>Berkey</v>
      </c>
      <c r="AN64" s="15" t="str">
        <f t="shared" si="0"/>
        <v>Berkey</v>
      </c>
      <c r="AO64" s="15" t="b">
        <f t="shared" si="1"/>
        <v>1</v>
      </c>
    </row>
    <row r="65" spans="1:41" ht="12" customHeight="1" x14ac:dyDescent="0.2">
      <c r="A65" s="1" t="s">
        <v>59</v>
      </c>
      <c r="B65" s="1"/>
      <c r="C65" s="1" t="s">
        <v>755</v>
      </c>
      <c r="E65" s="24">
        <v>128426.46</v>
      </c>
      <c r="G65" s="24">
        <v>11070</v>
      </c>
      <c r="I65" s="24">
        <v>3245.96</v>
      </c>
      <c r="K65" s="24">
        <v>363.87</v>
      </c>
      <c r="M65" s="24">
        <v>916.24</v>
      </c>
      <c r="O65" s="24">
        <v>66666.850000000006</v>
      </c>
      <c r="Q65" s="24">
        <v>73582.539999999994</v>
      </c>
      <c r="S65" s="24">
        <v>0</v>
      </c>
      <c r="U65" s="24">
        <v>0</v>
      </c>
      <c r="W65" s="24">
        <v>0</v>
      </c>
      <c r="Y65" s="24">
        <v>0</v>
      </c>
      <c r="AA65" s="24">
        <v>0</v>
      </c>
      <c r="AC65" s="24">
        <v>485.66</v>
      </c>
      <c r="AE65" s="24">
        <f t="shared" si="2"/>
        <v>284757.57999999996</v>
      </c>
      <c r="AF65" s="24"/>
      <c r="AG65" s="24">
        <v>-61617.99</v>
      </c>
      <c r="AH65" s="24"/>
      <c r="AI65" s="24">
        <v>294600.24</v>
      </c>
      <c r="AJ65" s="24"/>
      <c r="AK65" s="24">
        <v>232982.25</v>
      </c>
      <c r="AL65" s="24">
        <f>+'Gov Rev'!AI65-'Gov Exp'!AE65+'Gov Exp'!AI65-'Gov Exp'!AK65</f>
        <v>0</v>
      </c>
      <c r="AM65" s="15" t="str">
        <f>'Gov Rev'!A65</f>
        <v>Berlin Heights</v>
      </c>
      <c r="AN65" s="15" t="str">
        <f t="shared" si="0"/>
        <v>Berlin Heights</v>
      </c>
      <c r="AO65" s="15" t="b">
        <f t="shared" si="1"/>
        <v>1</v>
      </c>
    </row>
    <row r="66" spans="1:41" ht="12" customHeight="1" x14ac:dyDescent="0.2">
      <c r="A66" s="1" t="s">
        <v>296</v>
      </c>
      <c r="B66" s="1"/>
      <c r="C66" s="1" t="s">
        <v>295</v>
      </c>
      <c r="E66" s="24">
        <v>355514.03</v>
      </c>
      <c r="G66" s="24">
        <v>6230.07</v>
      </c>
      <c r="I66" s="24">
        <v>21957.19</v>
      </c>
      <c r="K66" s="24">
        <v>5587.15</v>
      </c>
      <c r="M66" s="24">
        <v>0</v>
      </c>
      <c r="O66" s="24">
        <v>165436.95000000001</v>
      </c>
      <c r="Q66" s="24">
        <v>104892.08</v>
      </c>
      <c r="S66" s="24">
        <v>0</v>
      </c>
      <c r="U66" s="24">
        <v>8603.39</v>
      </c>
      <c r="W66" s="24">
        <v>0</v>
      </c>
      <c r="Y66" s="24">
        <v>0</v>
      </c>
      <c r="AA66" s="24">
        <v>0</v>
      </c>
      <c r="AC66" s="24">
        <v>775.89</v>
      </c>
      <c r="AE66" s="24">
        <f t="shared" si="2"/>
        <v>668996.75000000012</v>
      </c>
      <c r="AF66" s="24"/>
      <c r="AG66" s="24">
        <v>149560.43</v>
      </c>
      <c r="AH66" s="24"/>
      <c r="AI66" s="24">
        <v>288872.8</v>
      </c>
      <c r="AJ66" s="24"/>
      <c r="AK66" s="24">
        <v>438433.23</v>
      </c>
      <c r="AL66" s="24">
        <f>+'Gov Rev'!AI66-'Gov Exp'!AE66+'Gov Exp'!AI66-'Gov Exp'!AK66</f>
        <v>0</v>
      </c>
      <c r="AM66" s="15" t="str">
        <f>'Gov Rev'!A66</f>
        <v>Bethel</v>
      </c>
      <c r="AN66" s="15" t="str">
        <f t="shared" si="0"/>
        <v>Bethel</v>
      </c>
      <c r="AO66" s="15" t="b">
        <f t="shared" si="1"/>
        <v>1</v>
      </c>
    </row>
    <row r="67" spans="1:41" ht="12" customHeight="1" x14ac:dyDescent="0.2">
      <c r="A67" s="1" t="s">
        <v>15</v>
      </c>
      <c r="B67" s="1"/>
      <c r="C67" s="1" t="s">
        <v>741</v>
      </c>
      <c r="E67" s="24">
        <v>310971.74</v>
      </c>
      <c r="G67" s="24">
        <v>161</v>
      </c>
      <c r="I67" s="24">
        <v>0</v>
      </c>
      <c r="K67" s="24">
        <v>0</v>
      </c>
      <c r="M67" s="24">
        <v>3590.18</v>
      </c>
      <c r="O67" s="24">
        <v>55560.74</v>
      </c>
      <c r="Q67" s="24">
        <v>53377.83</v>
      </c>
      <c r="S67" s="24">
        <v>163.38999999999999</v>
      </c>
      <c r="U67" s="24">
        <v>7642.19</v>
      </c>
      <c r="W67" s="24">
        <v>741.61</v>
      </c>
      <c r="Y67" s="24">
        <v>8000</v>
      </c>
      <c r="AA67" s="24">
        <v>17850</v>
      </c>
      <c r="AC67" s="24">
        <v>0</v>
      </c>
      <c r="AE67" s="24">
        <f t="shared" si="2"/>
        <v>458058.68</v>
      </c>
      <c r="AF67" s="24"/>
      <c r="AG67" s="24">
        <v>125409.17</v>
      </c>
      <c r="AH67" s="24"/>
      <c r="AI67" s="24">
        <v>375277.51</v>
      </c>
      <c r="AJ67" s="24"/>
      <c r="AK67" s="24">
        <v>500686.68</v>
      </c>
      <c r="AL67" s="24">
        <f>+'Gov Rev'!AI67-'Gov Exp'!AE67+'Gov Exp'!AI67-'Gov Exp'!AK67</f>
        <v>0</v>
      </c>
      <c r="AM67" s="15" t="str">
        <f>'Gov Rev'!A67</f>
        <v>Bethesda</v>
      </c>
      <c r="AN67" s="15" t="str">
        <f t="shared" si="0"/>
        <v>Bethesda</v>
      </c>
      <c r="AO67" s="15" t="b">
        <f t="shared" si="1"/>
        <v>1</v>
      </c>
    </row>
    <row r="68" spans="1:41" ht="12" customHeight="1" x14ac:dyDescent="0.2">
      <c r="A68" s="1" t="s">
        <v>531</v>
      </c>
      <c r="B68" s="1"/>
      <c r="C68" s="1" t="s">
        <v>532</v>
      </c>
      <c r="E68" s="24">
        <v>122636.74</v>
      </c>
      <c r="G68" s="24">
        <v>1354</v>
      </c>
      <c r="I68" s="24">
        <v>59402.8</v>
      </c>
      <c r="K68" s="24">
        <v>0</v>
      </c>
      <c r="M68" s="24">
        <v>6.71</v>
      </c>
      <c r="O68" s="24">
        <v>28820.29</v>
      </c>
      <c r="Q68" s="24">
        <v>107362.75</v>
      </c>
      <c r="S68" s="24">
        <v>18580.34</v>
      </c>
      <c r="U68" s="24">
        <v>0</v>
      </c>
      <c r="W68" s="24">
        <v>0</v>
      </c>
      <c r="Y68" s="24">
        <v>0</v>
      </c>
      <c r="AA68" s="24">
        <v>0</v>
      </c>
      <c r="AC68" s="24">
        <v>0</v>
      </c>
      <c r="AE68" s="24">
        <f t="shared" si="2"/>
        <v>338163.63000000006</v>
      </c>
      <c r="AF68" s="24"/>
      <c r="AG68" s="24">
        <v>66940.47</v>
      </c>
      <c r="AH68" s="24"/>
      <c r="AI68" s="24">
        <v>479314.76</v>
      </c>
      <c r="AJ68" s="24"/>
      <c r="AK68" s="24">
        <v>546255.23</v>
      </c>
      <c r="AL68" s="24">
        <f>+'Gov Rev'!AI68-'Gov Exp'!AE68+'Gov Exp'!AI68-'Gov Exp'!AK68</f>
        <v>0</v>
      </c>
      <c r="AM68" s="15" t="str">
        <f>'Gov Rev'!A68</f>
        <v>Bettsville</v>
      </c>
      <c r="AN68" s="15" t="str">
        <f t="shared" si="0"/>
        <v>Bettsville</v>
      </c>
      <c r="AO68" s="15" t="b">
        <f t="shared" si="1"/>
        <v>1</v>
      </c>
    </row>
    <row r="69" spans="1:41" ht="12" customHeight="1" x14ac:dyDescent="0.2">
      <c r="A69" s="1" t="s">
        <v>584</v>
      </c>
      <c r="B69" s="1"/>
      <c r="C69" s="1" t="s">
        <v>585</v>
      </c>
      <c r="E69" s="24">
        <v>231497.64</v>
      </c>
      <c r="G69" s="24">
        <v>18371.310000000001</v>
      </c>
      <c r="I69" s="24">
        <v>55571.46</v>
      </c>
      <c r="K69" s="24">
        <v>800</v>
      </c>
      <c r="M69" s="24">
        <v>0</v>
      </c>
      <c r="O69" s="24">
        <v>40755.620000000003</v>
      </c>
      <c r="Q69" s="24">
        <v>215512.68</v>
      </c>
      <c r="S69" s="24">
        <v>69307.06</v>
      </c>
      <c r="U69" s="24">
        <v>151283.42000000001</v>
      </c>
      <c r="W69" s="24">
        <v>4783.1899999999996</v>
      </c>
      <c r="Y69" s="24">
        <v>143559.91</v>
      </c>
      <c r="AA69" s="24">
        <v>20000</v>
      </c>
      <c r="AC69" s="24">
        <v>0</v>
      </c>
      <c r="AE69" s="24">
        <f t="shared" si="2"/>
        <v>951442.29</v>
      </c>
      <c r="AF69" s="24"/>
      <c r="AG69" s="24">
        <v>55047.27</v>
      </c>
      <c r="AH69" s="24"/>
      <c r="AI69" s="24">
        <v>382445.77</v>
      </c>
      <c r="AJ69" s="24"/>
      <c r="AK69" s="24">
        <v>437493.04</v>
      </c>
      <c r="AL69" s="24">
        <f>+'Gov Rev'!AI69-'Gov Exp'!AE69+'Gov Exp'!AI69-'Gov Exp'!AK69</f>
        <v>0</v>
      </c>
      <c r="AM69" s="15" t="str">
        <f>'Gov Rev'!A69</f>
        <v>Beverly</v>
      </c>
      <c r="AN69" s="15" t="str">
        <f t="shared" si="0"/>
        <v>Beverly</v>
      </c>
      <c r="AO69" s="15" t="b">
        <f t="shared" si="1"/>
        <v>1</v>
      </c>
    </row>
    <row r="70" spans="1:41" s="31" customFormat="1" ht="12" customHeight="1" x14ac:dyDescent="0.2">
      <c r="A70" s="1" t="s">
        <v>252</v>
      </c>
      <c r="B70" s="1"/>
      <c r="C70" s="1" t="s">
        <v>812</v>
      </c>
      <c r="D70" s="15"/>
      <c r="E70" s="24">
        <v>25809.47</v>
      </c>
      <c r="F70" s="24"/>
      <c r="G70" s="24">
        <v>0</v>
      </c>
      <c r="H70" s="24"/>
      <c r="I70" s="24">
        <v>0</v>
      </c>
      <c r="J70" s="24"/>
      <c r="K70" s="24">
        <v>0</v>
      </c>
      <c r="L70" s="24"/>
      <c r="M70" s="24">
        <v>6148.09</v>
      </c>
      <c r="N70" s="24"/>
      <c r="O70" s="24">
        <v>0</v>
      </c>
      <c r="P70" s="24"/>
      <c r="Q70" s="24">
        <v>14949.33</v>
      </c>
      <c r="R70" s="24"/>
      <c r="S70" s="24">
        <v>0</v>
      </c>
      <c r="T70" s="24"/>
      <c r="U70" s="24">
        <v>0</v>
      </c>
      <c r="V70" s="24"/>
      <c r="W70" s="24">
        <v>0</v>
      </c>
      <c r="X70" s="24"/>
      <c r="Y70" s="24">
        <v>0</v>
      </c>
      <c r="Z70" s="24"/>
      <c r="AA70" s="24">
        <v>0</v>
      </c>
      <c r="AB70" s="24"/>
      <c r="AC70" s="24">
        <v>0</v>
      </c>
      <c r="AD70" s="24"/>
      <c r="AE70" s="24">
        <f t="shared" si="2"/>
        <v>46906.89</v>
      </c>
      <c r="AF70" s="24"/>
      <c r="AG70" s="24">
        <v>-12254.79</v>
      </c>
      <c r="AH70" s="24"/>
      <c r="AI70" s="24">
        <v>171471.1</v>
      </c>
      <c r="AJ70" s="24"/>
      <c r="AK70" s="24">
        <v>159216.31</v>
      </c>
      <c r="AL70" s="24">
        <f>+'Gov Rev'!AI70-'Gov Exp'!AE70+'Gov Exp'!AI70-'Gov Exp'!AK70</f>
        <v>0</v>
      </c>
      <c r="AM70" s="15" t="str">
        <f>'Gov Rev'!A70</f>
        <v>Blakeslee</v>
      </c>
      <c r="AN70" s="15" t="str">
        <f t="shared" si="0"/>
        <v>Blakeslee</v>
      </c>
      <c r="AO70" s="15" t="b">
        <f t="shared" si="1"/>
        <v>1</v>
      </c>
    </row>
    <row r="71" spans="1:41" s="29" customFormat="1" ht="12" customHeight="1" x14ac:dyDescent="0.2">
      <c r="A71" s="15" t="s">
        <v>910</v>
      </c>
      <c r="B71" s="15"/>
      <c r="C71" s="15" t="s">
        <v>299</v>
      </c>
      <c r="D71" s="28"/>
      <c r="E71" s="24">
        <v>639949</v>
      </c>
      <c r="F71" s="24"/>
      <c r="G71" s="24">
        <v>7487</v>
      </c>
      <c r="H71" s="24"/>
      <c r="I71" s="24">
        <v>116777</v>
      </c>
      <c r="J71" s="24"/>
      <c r="K71" s="24">
        <v>9455</v>
      </c>
      <c r="L71" s="24"/>
      <c r="M71" s="24">
        <v>0</v>
      </c>
      <c r="N71" s="24"/>
      <c r="O71" s="24">
        <v>190279</v>
      </c>
      <c r="P71" s="24"/>
      <c r="Q71" s="24">
        <v>232419</v>
      </c>
      <c r="R71" s="24"/>
      <c r="S71" s="24">
        <v>913509</v>
      </c>
      <c r="T71" s="24"/>
      <c r="U71" s="24">
        <v>215843</v>
      </c>
      <c r="V71" s="24"/>
      <c r="W71" s="24">
        <v>98759</v>
      </c>
      <c r="X71" s="24"/>
      <c r="Y71" s="24">
        <v>0</v>
      </c>
      <c r="Z71" s="24"/>
      <c r="AA71" s="24">
        <v>0</v>
      </c>
      <c r="AB71" s="24"/>
      <c r="AC71" s="24">
        <v>6042</v>
      </c>
      <c r="AD71" s="24"/>
      <c r="AE71" s="24">
        <f t="shared" si="2"/>
        <v>2430519</v>
      </c>
      <c r="AF71" s="24"/>
      <c r="AG71" s="24">
        <v>2841631</v>
      </c>
      <c r="AH71" s="24"/>
      <c r="AI71" s="24">
        <v>1869572</v>
      </c>
      <c r="AJ71" s="24"/>
      <c r="AK71" s="24">
        <v>4711203</v>
      </c>
      <c r="AL71" s="24">
        <f>+'Gov Rev'!AI71-'Gov Exp'!AE71+'Gov Exp'!AI71-'Gov Exp'!AK71</f>
        <v>0</v>
      </c>
      <c r="AM71" s="15" t="str">
        <f>'Gov Rev'!A71</f>
        <v>Blanchester</v>
      </c>
      <c r="AN71" s="15" t="str">
        <f t="shared" si="0"/>
        <v>Blanchester</v>
      </c>
      <c r="AO71" s="15" t="b">
        <f t="shared" si="1"/>
        <v>1</v>
      </c>
    </row>
    <row r="72" spans="1:41" ht="12" customHeight="1" x14ac:dyDescent="0.2">
      <c r="A72" s="15" t="s">
        <v>602</v>
      </c>
      <c r="C72" s="15" t="s">
        <v>601</v>
      </c>
      <c r="E72" s="24">
        <v>39880</v>
      </c>
      <c r="G72" s="24">
        <v>9721</v>
      </c>
      <c r="I72" s="24">
        <v>11356</v>
      </c>
      <c r="K72" s="24">
        <v>0</v>
      </c>
      <c r="M72" s="24">
        <v>0</v>
      </c>
      <c r="O72" s="24">
        <v>39948</v>
      </c>
      <c r="Q72" s="24">
        <v>92785</v>
      </c>
      <c r="S72" s="24">
        <v>16118</v>
      </c>
      <c r="U72" s="24">
        <v>0</v>
      </c>
      <c r="W72" s="24">
        <v>0</v>
      </c>
      <c r="Y72" s="24">
        <v>0</v>
      </c>
      <c r="AA72" s="24">
        <v>33155</v>
      </c>
      <c r="AC72" s="24">
        <v>0</v>
      </c>
      <c r="AE72" s="24">
        <f t="shared" ref="AE72:AE138" si="3">SUM(E72:AC72)</f>
        <v>242963</v>
      </c>
      <c r="AF72" s="24"/>
      <c r="AG72" s="24">
        <v>50325</v>
      </c>
      <c r="AH72" s="24"/>
      <c r="AI72" s="24">
        <v>203598</v>
      </c>
      <c r="AJ72" s="24"/>
      <c r="AK72" s="24">
        <v>253923</v>
      </c>
      <c r="AL72" s="24">
        <f>+'Gov Rev'!AI72-'Gov Exp'!AE72+'Gov Exp'!AI72-'Gov Exp'!AK72</f>
        <v>0</v>
      </c>
      <c r="AM72" s="15" t="str">
        <f>'Gov Rev'!A72</f>
        <v>Bloomdale</v>
      </c>
      <c r="AN72" s="15" t="str">
        <f t="shared" ref="AN72:AN138" si="4">A72</f>
        <v>Bloomdale</v>
      </c>
      <c r="AO72" s="15" t="b">
        <f t="shared" ref="AO72:AO138" si="5">AM72=AN72</f>
        <v>1</v>
      </c>
    </row>
    <row r="73" spans="1:41" ht="12" customHeight="1" x14ac:dyDescent="0.2">
      <c r="A73" s="1" t="s">
        <v>68</v>
      </c>
      <c r="B73" s="1"/>
      <c r="C73" s="1" t="s">
        <v>757</v>
      </c>
      <c r="E73" s="24">
        <v>61255.05</v>
      </c>
      <c r="G73" s="24">
        <v>2724.16</v>
      </c>
      <c r="I73" s="24">
        <v>1223.98</v>
      </c>
      <c r="K73" s="24">
        <v>0</v>
      </c>
      <c r="M73" s="24">
        <v>13553.67</v>
      </c>
      <c r="O73" s="24">
        <v>25068.22</v>
      </c>
      <c r="Q73" s="24">
        <v>48817.49</v>
      </c>
      <c r="S73" s="24">
        <v>0</v>
      </c>
      <c r="U73" s="24">
        <v>0</v>
      </c>
      <c r="W73" s="24">
        <v>0</v>
      </c>
      <c r="Y73" s="24">
        <v>41000</v>
      </c>
      <c r="AA73" s="24">
        <v>0</v>
      </c>
      <c r="AC73" s="24">
        <v>11777.66</v>
      </c>
      <c r="AE73" s="24">
        <f t="shared" si="3"/>
        <v>205420.23</v>
      </c>
      <c r="AF73" s="24"/>
      <c r="AG73" s="24">
        <v>-56587.31</v>
      </c>
      <c r="AH73" s="24"/>
      <c r="AI73" s="24">
        <v>141449.07999999999</v>
      </c>
      <c r="AJ73" s="24"/>
      <c r="AK73" s="24">
        <v>84861.77</v>
      </c>
      <c r="AL73" s="24">
        <f>+'Gov Rev'!AI73-'Gov Exp'!AE73+'Gov Exp'!AI73-'Gov Exp'!AK73</f>
        <v>0</v>
      </c>
      <c r="AM73" s="15" t="str">
        <f>'Gov Rev'!A73</f>
        <v>Bloomingburg</v>
      </c>
      <c r="AN73" s="15" t="str">
        <f t="shared" si="4"/>
        <v>Bloomingburg</v>
      </c>
      <c r="AO73" s="15" t="b">
        <f t="shared" si="5"/>
        <v>1</v>
      </c>
    </row>
    <row r="74" spans="1:41" ht="12" customHeight="1" x14ac:dyDescent="0.2">
      <c r="A74" s="1"/>
      <c r="B74" s="1"/>
      <c r="C74" s="1"/>
      <c r="AE74" s="24"/>
      <c r="AF74" s="24"/>
      <c r="AG74" s="24"/>
      <c r="AH74" s="24"/>
      <c r="AI74" s="24"/>
      <c r="AJ74" s="24"/>
      <c r="AK74" s="24"/>
      <c r="AL74" s="24"/>
    </row>
    <row r="75" spans="1:41" ht="12" customHeight="1" x14ac:dyDescent="0.2">
      <c r="A75" s="1"/>
      <c r="B75" s="1"/>
      <c r="C75" s="1"/>
      <c r="AE75" s="77" t="s">
        <v>850</v>
      </c>
      <c r="AF75" s="24"/>
      <c r="AG75" s="24"/>
      <c r="AH75" s="24"/>
      <c r="AI75" s="24"/>
      <c r="AJ75" s="24"/>
      <c r="AK75" s="24"/>
      <c r="AL75" s="24"/>
    </row>
    <row r="76" spans="1:41" ht="12" customHeight="1" x14ac:dyDescent="0.2">
      <c r="A76" s="1"/>
      <c r="B76" s="1"/>
      <c r="C76" s="1"/>
      <c r="AE76" s="24"/>
      <c r="AF76" s="24"/>
      <c r="AG76" s="24"/>
      <c r="AH76" s="24"/>
      <c r="AI76" s="24"/>
      <c r="AJ76" s="24"/>
      <c r="AK76" s="24"/>
      <c r="AL76" s="24"/>
    </row>
    <row r="77" spans="1:41" ht="12" customHeight="1" x14ac:dyDescent="0.2">
      <c r="A77" s="1" t="s">
        <v>115</v>
      </c>
      <c r="B77" s="1"/>
      <c r="C77" s="1" t="s">
        <v>770</v>
      </c>
      <c r="E77" s="91">
        <v>4680.54</v>
      </c>
      <c r="F77" s="91"/>
      <c r="G77" s="91">
        <v>342.13</v>
      </c>
      <c r="H77" s="91"/>
      <c r="I77" s="91">
        <v>5227.0600000000004</v>
      </c>
      <c r="J77" s="91"/>
      <c r="K77" s="91">
        <v>0</v>
      </c>
      <c r="L77" s="91"/>
      <c r="M77" s="91">
        <v>600</v>
      </c>
      <c r="N77" s="91"/>
      <c r="O77" s="91">
        <v>7625.38</v>
      </c>
      <c r="P77" s="91"/>
      <c r="Q77" s="91">
        <v>15662.54</v>
      </c>
      <c r="R77" s="91"/>
      <c r="S77" s="91">
        <v>0</v>
      </c>
      <c r="T77" s="91"/>
      <c r="U77" s="91">
        <v>1500</v>
      </c>
      <c r="V77" s="91"/>
      <c r="W77" s="91">
        <v>0</v>
      </c>
      <c r="X77" s="91"/>
      <c r="Y77" s="91">
        <v>0</v>
      </c>
      <c r="Z77" s="91"/>
      <c r="AA77" s="91">
        <v>0</v>
      </c>
      <c r="AB77" s="91"/>
      <c r="AC77" s="91">
        <v>0</v>
      </c>
      <c r="AD77" s="91"/>
      <c r="AE77" s="91">
        <f t="shared" si="3"/>
        <v>35637.65</v>
      </c>
      <c r="AF77" s="24"/>
      <c r="AG77" s="24">
        <v>5325.11</v>
      </c>
      <c r="AH77" s="24"/>
      <c r="AI77" s="24">
        <v>40676.11</v>
      </c>
      <c r="AJ77" s="24"/>
      <c r="AK77" s="24">
        <v>46001.22</v>
      </c>
      <c r="AL77" s="24">
        <f>+'Gov Rev'!AI74-'Gov Exp'!AE77+'Gov Exp'!AI77-'Gov Exp'!AK77</f>
        <v>0</v>
      </c>
      <c r="AM77" s="15" t="str">
        <f>'Gov Rev'!A74</f>
        <v>Bloomingdale</v>
      </c>
      <c r="AN77" s="15" t="str">
        <f t="shared" si="4"/>
        <v>Bloomingdale</v>
      </c>
      <c r="AO77" s="15" t="b">
        <f t="shared" si="5"/>
        <v>1</v>
      </c>
    </row>
    <row r="78" spans="1:41" ht="12" customHeight="1" x14ac:dyDescent="0.2">
      <c r="A78" s="15" t="s">
        <v>533</v>
      </c>
      <c r="C78" s="15" t="s">
        <v>532</v>
      </c>
      <c r="E78" s="24">
        <v>52198</v>
      </c>
      <c r="G78" s="24">
        <v>1516</v>
      </c>
      <c r="I78" s="24">
        <v>29757</v>
      </c>
      <c r="K78" s="24">
        <v>0</v>
      </c>
      <c r="M78" s="24">
        <v>6096</v>
      </c>
      <c r="O78" s="24">
        <v>39739</v>
      </c>
      <c r="Q78" s="24">
        <v>38646</v>
      </c>
      <c r="S78" s="24">
        <v>14353</v>
      </c>
      <c r="U78" s="24">
        <v>0</v>
      </c>
      <c r="W78" s="24">
        <v>0</v>
      </c>
      <c r="Y78" s="24">
        <v>35000</v>
      </c>
      <c r="AA78" s="24">
        <v>0</v>
      </c>
      <c r="AC78" s="24">
        <v>0</v>
      </c>
      <c r="AE78" s="24">
        <f t="shared" si="3"/>
        <v>217305</v>
      </c>
      <c r="AF78" s="24"/>
      <c r="AG78" s="24">
        <v>6167</v>
      </c>
      <c r="AH78" s="24"/>
      <c r="AI78" s="24">
        <v>480056</v>
      </c>
      <c r="AJ78" s="24"/>
      <c r="AK78" s="24">
        <v>486223</v>
      </c>
      <c r="AL78" s="24">
        <f>+'Gov Rev'!AI75-'Gov Exp'!AE78+'Gov Exp'!AI78-'Gov Exp'!AK78</f>
        <v>0</v>
      </c>
      <c r="AM78" s="15" t="str">
        <f>'Gov Rev'!A75</f>
        <v>Bloomville</v>
      </c>
      <c r="AN78" s="15" t="str">
        <f t="shared" si="4"/>
        <v>Bloomville</v>
      </c>
      <c r="AO78" s="15" t="b">
        <f t="shared" si="5"/>
        <v>1</v>
      </c>
    </row>
    <row r="79" spans="1:41" s="24" customFormat="1" ht="12" hidden="1" customHeight="1" x14ac:dyDescent="0.2">
      <c r="A79" s="1" t="s">
        <v>682</v>
      </c>
      <c r="B79" s="1"/>
      <c r="C79" s="1" t="s">
        <v>703</v>
      </c>
      <c r="D79" s="15"/>
      <c r="AE79" s="24">
        <f t="shared" si="3"/>
        <v>0</v>
      </c>
      <c r="AL79" s="24">
        <f>+'Gov Rev'!AI76-'Gov Exp'!AE79+'Gov Exp'!AI79-'Gov Exp'!AK79</f>
        <v>0</v>
      </c>
      <c r="AM79" s="15" t="str">
        <f>'Gov Rev'!A76</f>
        <v>Bluffton</v>
      </c>
      <c r="AN79" s="15" t="str">
        <f t="shared" si="4"/>
        <v>Bluffton</v>
      </c>
      <c r="AO79" s="15" t="b">
        <f t="shared" si="5"/>
        <v>1</v>
      </c>
    </row>
    <row r="80" spans="1:41" ht="12" customHeight="1" x14ac:dyDescent="0.2">
      <c r="A80" s="1" t="s">
        <v>562</v>
      </c>
      <c r="B80" s="1"/>
      <c r="C80" s="1" t="s">
        <v>560</v>
      </c>
      <c r="E80" s="24">
        <v>195358.67</v>
      </c>
      <c r="G80" s="24">
        <v>0</v>
      </c>
      <c r="I80" s="24">
        <v>13729.35</v>
      </c>
      <c r="K80" s="24">
        <v>221226.28</v>
      </c>
      <c r="M80" s="24">
        <v>39701.32</v>
      </c>
      <c r="O80" s="24">
        <v>49050.11</v>
      </c>
      <c r="Q80" s="24">
        <v>111337.45</v>
      </c>
      <c r="S80" s="24">
        <v>92428.800000000003</v>
      </c>
      <c r="U80" s="24">
        <v>0</v>
      </c>
      <c r="W80" s="24">
        <v>0</v>
      </c>
      <c r="Y80" s="24">
        <v>121592.76</v>
      </c>
      <c r="AA80" s="24">
        <v>0</v>
      </c>
      <c r="AC80" s="24">
        <v>7199.2</v>
      </c>
      <c r="AE80" s="24">
        <f t="shared" si="3"/>
        <v>851623.94000000006</v>
      </c>
      <c r="AF80" s="24"/>
      <c r="AG80" s="24">
        <v>759526.75</v>
      </c>
      <c r="AH80" s="24"/>
      <c r="AI80" s="24">
        <v>483699.89</v>
      </c>
      <c r="AJ80" s="24"/>
      <c r="AK80" s="24">
        <v>1243226.6399999999</v>
      </c>
      <c r="AL80" s="24">
        <f>+'Gov Rev'!AI77-'Gov Exp'!AE80+'Gov Exp'!AI80-'Gov Exp'!AK80</f>
        <v>0</v>
      </c>
      <c r="AM80" s="15" t="str">
        <f>'Gov Rev'!A77</f>
        <v>Bolivar</v>
      </c>
      <c r="AN80" s="15" t="str">
        <f t="shared" si="4"/>
        <v>Bolivar</v>
      </c>
      <c r="AO80" s="15" t="b">
        <f t="shared" si="5"/>
        <v>1</v>
      </c>
    </row>
    <row r="81" spans="1:41" ht="12" hidden="1" customHeight="1" x14ac:dyDescent="0.2">
      <c r="A81" s="1" t="s">
        <v>548</v>
      </c>
      <c r="B81" s="1"/>
      <c r="C81" s="1" t="s">
        <v>549</v>
      </c>
      <c r="AE81" s="24">
        <f t="shared" si="3"/>
        <v>0</v>
      </c>
      <c r="AF81" s="24"/>
      <c r="AG81" s="24"/>
      <c r="AH81" s="24"/>
      <c r="AI81" s="24"/>
      <c r="AJ81" s="24"/>
      <c r="AK81" s="24"/>
      <c r="AL81" s="24">
        <f>+'Gov Rev'!AI78-'Gov Exp'!AE81+'Gov Exp'!AI81-'Gov Exp'!AK81</f>
        <v>0</v>
      </c>
      <c r="AM81" s="15" t="str">
        <f>'Gov Rev'!A78</f>
        <v>Boston Heights</v>
      </c>
      <c r="AN81" s="15" t="str">
        <f t="shared" si="4"/>
        <v>Boston Heights</v>
      </c>
      <c r="AO81" s="15" t="b">
        <f t="shared" si="5"/>
        <v>1</v>
      </c>
    </row>
    <row r="82" spans="1:41" ht="12" customHeight="1" x14ac:dyDescent="0.2">
      <c r="A82" s="24" t="s">
        <v>535</v>
      </c>
      <c r="B82" s="24"/>
      <c r="C82" s="24" t="s">
        <v>536</v>
      </c>
      <c r="D82" s="24"/>
      <c r="E82" s="24">
        <v>221462</v>
      </c>
      <c r="G82" s="24">
        <v>4961</v>
      </c>
      <c r="I82" s="24">
        <v>42803</v>
      </c>
      <c r="K82" s="24">
        <v>0</v>
      </c>
      <c r="M82" s="24">
        <v>0</v>
      </c>
      <c r="O82" s="24">
        <v>128408</v>
      </c>
      <c r="Q82" s="24">
        <v>281759</v>
      </c>
      <c r="S82" s="24">
        <v>432836</v>
      </c>
      <c r="U82" s="24">
        <v>23061</v>
      </c>
      <c r="W82" s="24">
        <v>2130</v>
      </c>
      <c r="Y82" s="24">
        <v>0</v>
      </c>
      <c r="AA82" s="24">
        <v>0</v>
      </c>
      <c r="AC82" s="24">
        <v>0</v>
      </c>
      <c r="AE82" s="24">
        <f t="shared" si="3"/>
        <v>1137420</v>
      </c>
      <c r="AF82" s="24"/>
      <c r="AG82" s="24">
        <v>24747</v>
      </c>
      <c r="AH82" s="24"/>
      <c r="AI82" s="24">
        <v>771627</v>
      </c>
      <c r="AJ82" s="24"/>
      <c r="AK82" s="24">
        <v>796374</v>
      </c>
      <c r="AL82" s="24">
        <f>+'Gov Rev'!AI79-'Gov Exp'!AE82+'Gov Exp'!AI82-'Gov Exp'!AK82</f>
        <v>0</v>
      </c>
      <c r="AM82" s="15" t="str">
        <f>'Gov Rev'!A79</f>
        <v>Botkins</v>
      </c>
      <c r="AN82" s="15" t="str">
        <f t="shared" si="4"/>
        <v>Botkins</v>
      </c>
      <c r="AO82" s="15" t="b">
        <f t="shared" si="5"/>
        <v>1</v>
      </c>
    </row>
    <row r="83" spans="1:41" ht="12" customHeight="1" x14ac:dyDescent="0.2">
      <c r="A83" s="1" t="s">
        <v>402</v>
      </c>
      <c r="B83" s="1"/>
      <c r="C83" s="1" t="s">
        <v>403</v>
      </c>
      <c r="E83" s="24">
        <v>14046.03</v>
      </c>
      <c r="G83" s="24">
        <v>317.73</v>
      </c>
      <c r="I83" s="24">
        <v>26581.06</v>
      </c>
      <c r="K83" s="24">
        <v>535.37</v>
      </c>
      <c r="M83" s="24">
        <v>340</v>
      </c>
      <c r="O83" s="24">
        <v>10676.9</v>
      </c>
      <c r="Q83" s="24">
        <v>63652.55</v>
      </c>
      <c r="S83" s="24">
        <v>11215</v>
      </c>
      <c r="U83" s="24">
        <v>5000</v>
      </c>
      <c r="W83" s="24">
        <v>0</v>
      </c>
      <c r="Y83" s="24">
        <v>0</v>
      </c>
      <c r="AA83" s="24">
        <v>0</v>
      </c>
      <c r="AC83" s="24">
        <v>8261.16</v>
      </c>
      <c r="AE83" s="24">
        <f t="shared" si="3"/>
        <v>140625.80000000002</v>
      </c>
      <c r="AF83" s="24"/>
      <c r="AG83" s="24">
        <v>124689.61</v>
      </c>
      <c r="AH83" s="24"/>
      <c r="AI83" s="24">
        <v>170257.82</v>
      </c>
      <c r="AJ83" s="24"/>
      <c r="AK83" s="24">
        <v>294947.43</v>
      </c>
      <c r="AL83" s="24">
        <f>+'Gov Rev'!AI83-'Gov Exp'!AE83+'Gov Exp'!AI83-'Gov Exp'!AK83</f>
        <v>0</v>
      </c>
      <c r="AM83" s="15" t="str">
        <f>'Gov Rev'!A83</f>
        <v>Bowerston</v>
      </c>
      <c r="AN83" s="15" t="str">
        <f t="shared" si="4"/>
        <v>Bowerston</v>
      </c>
      <c r="AO83" s="15" t="b">
        <f t="shared" si="5"/>
        <v>1</v>
      </c>
    </row>
    <row r="84" spans="1:41" s="31" customFormat="1" ht="12" customHeight="1" x14ac:dyDescent="0.2">
      <c r="A84" s="1" t="s">
        <v>83</v>
      </c>
      <c r="B84" s="1"/>
      <c r="C84" s="1" t="s">
        <v>761</v>
      </c>
      <c r="D84" s="15"/>
      <c r="E84" s="24">
        <v>359.8</v>
      </c>
      <c r="F84" s="24"/>
      <c r="G84" s="24">
        <v>0</v>
      </c>
      <c r="H84" s="24"/>
      <c r="I84" s="24">
        <v>0</v>
      </c>
      <c r="J84" s="24"/>
      <c r="K84" s="24">
        <v>0</v>
      </c>
      <c r="L84" s="24"/>
      <c r="M84" s="24">
        <v>0</v>
      </c>
      <c r="N84" s="24"/>
      <c r="O84" s="24">
        <v>123585.77</v>
      </c>
      <c r="P84" s="24"/>
      <c r="Q84" s="24">
        <v>40666.19</v>
      </c>
      <c r="R84" s="24"/>
      <c r="S84" s="24">
        <v>0</v>
      </c>
      <c r="T84" s="24"/>
      <c r="U84" s="24">
        <v>0</v>
      </c>
      <c r="V84" s="24"/>
      <c r="W84" s="24">
        <v>0</v>
      </c>
      <c r="X84" s="24"/>
      <c r="Y84" s="24">
        <v>0</v>
      </c>
      <c r="Z84" s="24"/>
      <c r="AA84" s="24">
        <v>0</v>
      </c>
      <c r="AB84" s="24"/>
      <c r="AC84" s="24">
        <v>0</v>
      </c>
      <c r="AD84" s="24"/>
      <c r="AE84" s="24">
        <f t="shared" si="3"/>
        <v>164611.76</v>
      </c>
      <c r="AF84" s="24"/>
      <c r="AG84" s="24">
        <v>425.02</v>
      </c>
      <c r="AH84" s="24"/>
      <c r="AI84" s="24">
        <v>86489.41</v>
      </c>
      <c r="AJ84" s="24"/>
      <c r="AK84" s="24">
        <v>86914.43</v>
      </c>
      <c r="AL84" s="24">
        <f>+'Gov Rev'!AI84-'Gov Exp'!AE84+'Gov Exp'!AI84-'Gov Exp'!AK84</f>
        <v>0</v>
      </c>
      <c r="AM84" s="15" t="str">
        <f>'Gov Rev'!A84</f>
        <v>Bowersville</v>
      </c>
      <c r="AN84" s="15" t="str">
        <f t="shared" si="4"/>
        <v>Bowersville</v>
      </c>
      <c r="AO84" s="15" t="b">
        <f t="shared" si="5"/>
        <v>1</v>
      </c>
    </row>
    <row r="85" spans="1:41" ht="12" customHeight="1" x14ac:dyDescent="0.2">
      <c r="A85" s="15" t="s">
        <v>469</v>
      </c>
      <c r="C85" s="15" t="s">
        <v>902</v>
      </c>
      <c r="E85" s="24">
        <f>150180+54581</f>
        <v>204761</v>
      </c>
      <c r="G85" s="24">
        <v>0</v>
      </c>
      <c r="I85" s="24">
        <v>3914</v>
      </c>
      <c r="K85" s="24">
        <v>0</v>
      </c>
      <c r="M85" s="24">
        <v>0</v>
      </c>
      <c r="O85" s="24">
        <v>134854</v>
      </c>
      <c r="Q85" s="24">
        <f>123517-1</f>
        <v>123516</v>
      </c>
      <c r="S85" s="24">
        <v>0</v>
      </c>
      <c r="U85" s="24">
        <v>59662</v>
      </c>
      <c r="W85" s="24">
        <v>0</v>
      </c>
      <c r="Y85" s="24">
        <v>0</v>
      </c>
      <c r="AA85" s="24">
        <v>0</v>
      </c>
      <c r="AC85" s="24">
        <v>0</v>
      </c>
      <c r="AE85" s="24">
        <f t="shared" si="3"/>
        <v>526707</v>
      </c>
      <c r="AF85" s="24"/>
      <c r="AG85" s="24">
        <f>-1369+61634</f>
        <v>60265</v>
      </c>
      <c r="AH85" s="24"/>
      <c r="AI85" s="24">
        <f>75080+159070</f>
        <v>234150</v>
      </c>
      <c r="AJ85" s="24"/>
      <c r="AK85" s="24">
        <f>73711+220704</f>
        <v>294415</v>
      </c>
      <c r="AL85" s="24">
        <f>+'Gov Rev'!AI85-'Gov Exp'!AE85+'Gov Exp'!AI85-'Gov Exp'!AK85</f>
        <v>0</v>
      </c>
      <c r="AM85" s="15" t="str">
        <f>'Gov Rev'!A85</f>
        <v>Bradford</v>
      </c>
      <c r="AN85" s="15" t="str">
        <f t="shared" si="4"/>
        <v>Bradford</v>
      </c>
      <c r="AO85" s="15" t="b">
        <f t="shared" si="5"/>
        <v>1</v>
      </c>
    </row>
    <row r="86" spans="1:41" ht="12" customHeight="1" x14ac:dyDescent="0.2">
      <c r="A86" s="15" t="s">
        <v>603</v>
      </c>
      <c r="C86" s="15" t="s">
        <v>601</v>
      </c>
      <c r="E86" s="24">
        <v>113311</v>
      </c>
      <c r="G86" s="24">
        <v>4206</v>
      </c>
      <c r="I86" s="24">
        <v>39269</v>
      </c>
      <c r="K86" s="24">
        <v>27728</v>
      </c>
      <c r="M86" s="24">
        <v>30259</v>
      </c>
      <c r="O86" s="24">
        <v>67181</v>
      </c>
      <c r="Q86" s="24">
        <v>146236</v>
      </c>
      <c r="S86" s="24">
        <v>17587</v>
      </c>
      <c r="U86" s="24">
        <v>121561</v>
      </c>
      <c r="W86" s="24">
        <v>0</v>
      </c>
      <c r="Y86" s="24">
        <v>10000</v>
      </c>
      <c r="AA86" s="24">
        <v>0</v>
      </c>
      <c r="AC86" s="24">
        <v>0</v>
      </c>
      <c r="AE86" s="24">
        <f t="shared" si="3"/>
        <v>577338</v>
      </c>
      <c r="AF86" s="24"/>
      <c r="AG86" s="24">
        <v>-8339</v>
      </c>
      <c r="AH86" s="24"/>
      <c r="AI86" s="24">
        <f>222616+271418+74458+113944</f>
        <v>682436</v>
      </c>
      <c r="AJ86" s="24"/>
      <c r="AK86" s="24">
        <v>674097</v>
      </c>
      <c r="AL86" s="24">
        <f>+'Gov Rev'!AI86-'Gov Exp'!AE86+'Gov Exp'!AI86-'Gov Exp'!AK86</f>
        <v>0</v>
      </c>
      <c r="AM86" s="15" t="str">
        <f>'Gov Rev'!A86</f>
        <v>Bradner</v>
      </c>
      <c r="AN86" s="15" t="str">
        <f t="shared" si="4"/>
        <v>Bradner</v>
      </c>
      <c r="AO86" s="15" t="b">
        <f t="shared" si="5"/>
        <v>1</v>
      </c>
    </row>
    <row r="87" spans="1:41" ht="12" hidden="1" customHeight="1" x14ac:dyDescent="0.2">
      <c r="A87" s="1" t="s">
        <v>880</v>
      </c>
      <c r="B87" s="1"/>
      <c r="C87" s="1" t="s">
        <v>259</v>
      </c>
      <c r="AE87" s="24">
        <f t="shared" si="3"/>
        <v>0</v>
      </c>
      <c r="AF87" s="24"/>
      <c r="AG87" s="24"/>
      <c r="AH87" s="24"/>
      <c r="AI87" s="24"/>
      <c r="AJ87" s="24"/>
      <c r="AK87" s="24"/>
      <c r="AL87" s="24">
        <f>+'Gov Rev'!AI87-'Gov Exp'!AE87+'Gov Exp'!AI87-'Gov Exp'!AK87</f>
        <v>0</v>
      </c>
      <c r="AM87" s="15" t="str">
        <f>'Gov Rev'!A87</f>
        <v>Brady Lake</v>
      </c>
      <c r="AN87" s="15" t="str">
        <f t="shared" si="4"/>
        <v>Brady Lake</v>
      </c>
      <c r="AO87" s="15" t="b">
        <f t="shared" si="5"/>
        <v>1</v>
      </c>
    </row>
    <row r="88" spans="1:41" s="31" customFormat="1" ht="12" customHeight="1" x14ac:dyDescent="0.2">
      <c r="A88" s="1" t="s">
        <v>317</v>
      </c>
      <c r="B88" s="1"/>
      <c r="C88" s="1" t="s">
        <v>751</v>
      </c>
      <c r="D88" s="15"/>
      <c r="E88" s="24">
        <v>1659844.86</v>
      </c>
      <c r="F88" s="24"/>
      <c r="G88" s="24">
        <v>3683.09</v>
      </c>
      <c r="H88" s="24"/>
      <c r="I88" s="24">
        <v>89473.45</v>
      </c>
      <c r="J88" s="24"/>
      <c r="K88" s="24">
        <v>55178.11</v>
      </c>
      <c r="L88" s="24"/>
      <c r="M88" s="24">
        <v>0</v>
      </c>
      <c r="N88" s="24"/>
      <c r="O88" s="24">
        <v>490195.26</v>
      </c>
      <c r="P88" s="24"/>
      <c r="Q88" s="24">
        <v>786958.84</v>
      </c>
      <c r="R88" s="24"/>
      <c r="S88" s="24">
        <v>75840.86</v>
      </c>
      <c r="T88" s="24"/>
      <c r="U88" s="24">
        <v>830348.79</v>
      </c>
      <c r="V88" s="24"/>
      <c r="W88" s="24">
        <v>20735.310000000001</v>
      </c>
      <c r="X88" s="24"/>
      <c r="Y88" s="24">
        <v>110429.46</v>
      </c>
      <c r="Z88" s="24"/>
      <c r="AA88" s="24">
        <v>0</v>
      </c>
      <c r="AB88" s="24"/>
      <c r="AC88" s="24">
        <v>0</v>
      </c>
      <c r="AD88" s="24"/>
      <c r="AE88" s="24">
        <f t="shared" si="3"/>
        <v>4122688.0300000003</v>
      </c>
      <c r="AF88" s="24"/>
      <c r="AG88" s="24">
        <v>639638.09</v>
      </c>
      <c r="AH88" s="24"/>
      <c r="AI88" s="24">
        <v>1066343.67</v>
      </c>
      <c r="AJ88" s="24"/>
      <c r="AK88" s="24">
        <v>1705981.76</v>
      </c>
      <c r="AL88" s="24">
        <f>+'Gov Rev'!AI88-'Gov Exp'!AE88+'Gov Exp'!AI88-'Gov Exp'!AK88</f>
        <v>0</v>
      </c>
      <c r="AM88" s="15" t="str">
        <f>'Gov Rev'!A88</f>
        <v>Bratenahl</v>
      </c>
      <c r="AN88" s="15" t="str">
        <f t="shared" si="4"/>
        <v>Bratenahl</v>
      </c>
      <c r="AO88" s="15" t="b">
        <f t="shared" si="5"/>
        <v>1</v>
      </c>
    </row>
    <row r="89" spans="1:41" ht="12" customHeight="1" x14ac:dyDescent="0.2">
      <c r="A89" s="1" t="s">
        <v>61</v>
      </c>
      <c r="B89" s="1"/>
      <c r="C89" s="1" t="s">
        <v>756</v>
      </c>
      <c r="D89" s="28"/>
      <c r="E89" s="24">
        <v>77791.12</v>
      </c>
      <c r="G89" s="24">
        <v>0</v>
      </c>
      <c r="I89" s="24">
        <v>30402.92</v>
      </c>
      <c r="K89" s="24">
        <v>3616.8</v>
      </c>
      <c r="M89" s="24">
        <v>0</v>
      </c>
      <c r="O89" s="24">
        <v>212222.36</v>
      </c>
      <c r="Q89" s="24">
        <v>119726.02</v>
      </c>
      <c r="S89" s="24">
        <v>12448.91</v>
      </c>
      <c r="U89" s="24">
        <v>2413.9699999999998</v>
      </c>
      <c r="W89" s="24">
        <v>0</v>
      </c>
      <c r="Y89" s="24">
        <v>109471</v>
      </c>
      <c r="AA89" s="24">
        <v>0</v>
      </c>
      <c r="AC89" s="24">
        <v>0</v>
      </c>
      <c r="AE89" s="24">
        <f t="shared" si="3"/>
        <v>568093.09999999986</v>
      </c>
      <c r="AF89" s="24"/>
      <c r="AG89" s="24">
        <v>115700.8</v>
      </c>
      <c r="AH89" s="24"/>
      <c r="AI89" s="24">
        <v>247188.87</v>
      </c>
      <c r="AJ89" s="24"/>
      <c r="AK89" s="24">
        <v>362889.67</v>
      </c>
      <c r="AL89" s="24">
        <f>+'Gov Rev'!AI89-'Gov Exp'!AE89+'Gov Exp'!AI89-'Gov Exp'!AK89</f>
        <v>0</v>
      </c>
      <c r="AM89" s="15" t="str">
        <f>'Gov Rev'!A89</f>
        <v>Bremen</v>
      </c>
      <c r="AN89" s="15" t="str">
        <f t="shared" si="4"/>
        <v>Bremen</v>
      </c>
      <c r="AO89" s="15" t="b">
        <f t="shared" si="5"/>
        <v>1</v>
      </c>
    </row>
    <row r="90" spans="1:41" ht="12" customHeight="1" x14ac:dyDescent="0.2">
      <c r="A90" s="15" t="s">
        <v>541</v>
      </c>
      <c r="C90" s="15" t="s">
        <v>540</v>
      </c>
      <c r="E90" s="24">
        <v>701879</v>
      </c>
      <c r="G90" s="24">
        <v>8394</v>
      </c>
      <c r="I90" s="24">
        <v>13170</v>
      </c>
      <c r="K90" s="24">
        <v>1663</v>
      </c>
      <c r="M90" s="24">
        <v>7875</v>
      </c>
      <c r="O90" s="24">
        <v>211070</v>
      </c>
      <c r="Q90" s="24">
        <v>170098</v>
      </c>
      <c r="S90" s="24">
        <v>296920</v>
      </c>
      <c r="U90" s="24">
        <v>19301</v>
      </c>
      <c r="W90" s="24">
        <v>5520</v>
      </c>
      <c r="Y90" s="24">
        <v>202265</v>
      </c>
      <c r="AA90" s="24">
        <v>0</v>
      </c>
      <c r="AC90" s="24">
        <f>12306+2</f>
        <v>12308</v>
      </c>
      <c r="AE90" s="24">
        <f t="shared" si="3"/>
        <v>1650463</v>
      </c>
      <c r="AF90" s="24"/>
      <c r="AG90" s="24">
        <v>-168904</v>
      </c>
      <c r="AH90" s="24"/>
      <c r="AI90" s="24">
        <v>1542334</v>
      </c>
      <c r="AJ90" s="24"/>
      <c r="AK90" s="24">
        <v>1373429</v>
      </c>
      <c r="AL90" s="24">
        <f>+'Gov Rev'!AI90-'Gov Exp'!AE90+'Gov Exp'!AI90-'Gov Exp'!AK90</f>
        <v>0</v>
      </c>
      <c r="AM90" s="15" t="str">
        <f>'Gov Rev'!A90</f>
        <v>Brewster</v>
      </c>
      <c r="AN90" s="15" t="str">
        <f t="shared" si="4"/>
        <v>Brewster</v>
      </c>
      <c r="AO90" s="15" t="b">
        <f t="shared" si="5"/>
        <v>1</v>
      </c>
    </row>
    <row r="91" spans="1:41" ht="12" customHeight="1" x14ac:dyDescent="0.2">
      <c r="A91" s="15" t="s">
        <v>72</v>
      </c>
      <c r="C91" s="15" t="s">
        <v>758</v>
      </c>
      <c r="E91" s="24">
        <v>101943.58</v>
      </c>
      <c r="G91" s="24">
        <v>0</v>
      </c>
      <c r="I91" s="24">
        <v>0</v>
      </c>
      <c r="K91" s="24">
        <v>0</v>
      </c>
      <c r="M91" s="24">
        <v>0</v>
      </c>
      <c r="O91" s="24">
        <v>2045.62</v>
      </c>
      <c r="Q91" s="24">
        <v>80772.800000000003</v>
      </c>
      <c r="S91" s="24">
        <v>0</v>
      </c>
      <c r="U91" s="24">
        <v>2400</v>
      </c>
      <c r="W91" s="24">
        <v>1126.76</v>
      </c>
      <c r="Y91" s="24">
        <v>0</v>
      </c>
      <c r="AA91" s="24">
        <v>0</v>
      </c>
      <c r="AC91" s="24">
        <v>0</v>
      </c>
      <c r="AE91" s="24">
        <f t="shared" si="3"/>
        <v>188288.76</v>
      </c>
      <c r="AF91" s="24"/>
      <c r="AG91" s="24">
        <v>-13075.96</v>
      </c>
      <c r="AH91" s="24"/>
      <c r="AI91" s="24">
        <v>62176.17</v>
      </c>
      <c r="AJ91" s="24"/>
      <c r="AK91" s="24">
        <v>49100.21</v>
      </c>
      <c r="AL91" s="24">
        <f>+'Gov Rev'!AI91-'Gov Exp'!AE91+'Gov Exp'!AI91-'Gov Exp'!AK91</f>
        <v>0</v>
      </c>
      <c r="AM91" s="15" t="str">
        <f>'Gov Rev'!A91</f>
        <v>Brice</v>
      </c>
      <c r="AN91" s="15" t="str">
        <f t="shared" si="4"/>
        <v>Brice</v>
      </c>
      <c r="AO91" s="15" t="b">
        <f t="shared" si="5"/>
        <v>1</v>
      </c>
    </row>
    <row r="92" spans="1:41" ht="12" customHeight="1" x14ac:dyDescent="0.2">
      <c r="A92" s="1" t="s">
        <v>281</v>
      </c>
      <c r="B92" s="1"/>
      <c r="C92" s="1" t="s">
        <v>279</v>
      </c>
      <c r="E92" s="24">
        <v>372066.74</v>
      </c>
      <c r="G92" s="24">
        <v>13252.16</v>
      </c>
      <c r="I92" s="24">
        <v>2447.9499999999998</v>
      </c>
      <c r="K92" s="24">
        <v>0</v>
      </c>
      <c r="M92" s="24">
        <v>98353.61</v>
      </c>
      <c r="O92" s="24">
        <v>52081.08</v>
      </c>
      <c r="Q92" s="24">
        <v>183763.91</v>
      </c>
      <c r="S92" s="24">
        <v>0</v>
      </c>
      <c r="U92" s="24">
        <v>6433.37</v>
      </c>
      <c r="W92" s="24">
        <v>472.84</v>
      </c>
      <c r="Y92" s="24">
        <v>0</v>
      </c>
      <c r="AA92" s="24">
        <v>0</v>
      </c>
      <c r="AC92" s="24">
        <v>1287.22</v>
      </c>
      <c r="AE92" s="24">
        <f t="shared" si="3"/>
        <v>730158.87999999989</v>
      </c>
      <c r="AF92" s="24"/>
      <c r="AG92" s="24">
        <v>132019.17000000001</v>
      </c>
      <c r="AH92" s="24"/>
      <c r="AI92" s="24">
        <v>374442.44</v>
      </c>
      <c r="AJ92" s="24"/>
      <c r="AK92" s="24">
        <v>506461.61</v>
      </c>
      <c r="AL92" s="24">
        <f>+'Gov Rev'!AI92-'Gov Exp'!AE92+'Gov Exp'!AI92-'Gov Exp'!AK92</f>
        <v>0</v>
      </c>
      <c r="AM92" s="15" t="str">
        <f>'Gov Rev'!A92</f>
        <v>Bridgeport</v>
      </c>
      <c r="AN92" s="15" t="str">
        <f t="shared" si="4"/>
        <v>Bridgeport</v>
      </c>
      <c r="AO92" s="15" t="b">
        <f t="shared" si="5"/>
        <v>1</v>
      </c>
    </row>
    <row r="93" spans="1:41" ht="12" customHeight="1" x14ac:dyDescent="0.2">
      <c r="A93" s="15" t="s">
        <v>318</v>
      </c>
      <c r="C93" s="15" t="s">
        <v>316</v>
      </c>
      <c r="E93" s="24">
        <v>2724530</v>
      </c>
      <c r="G93" s="24">
        <v>172919</v>
      </c>
      <c r="I93" s="24">
        <v>72323</v>
      </c>
      <c r="K93" s="24">
        <v>41062</v>
      </c>
      <c r="M93" s="24">
        <v>77345</v>
      </c>
      <c r="O93" s="24">
        <v>606759</v>
      </c>
      <c r="Q93" s="24">
        <v>1246037</v>
      </c>
      <c r="S93" s="24">
        <v>253287</v>
      </c>
      <c r="U93" s="24">
        <v>89998</v>
      </c>
      <c r="W93" s="24">
        <v>7975</v>
      </c>
      <c r="Y93" s="24">
        <v>405985</v>
      </c>
      <c r="AA93" s="24">
        <v>0</v>
      </c>
      <c r="AC93" s="24">
        <v>0</v>
      </c>
      <c r="AE93" s="24">
        <f t="shared" si="3"/>
        <v>5698220</v>
      </c>
      <c r="AF93" s="24"/>
      <c r="AG93" s="24">
        <v>-196069</v>
      </c>
      <c r="AH93" s="24"/>
      <c r="AI93" s="24">
        <v>4168596</v>
      </c>
      <c r="AJ93" s="24"/>
      <c r="AK93" s="24">
        <v>3972527</v>
      </c>
      <c r="AL93" s="24">
        <f>+'Gov Rev'!AI93-'Gov Exp'!AE93+'Gov Exp'!AI93-'Gov Exp'!AK93</f>
        <v>0</v>
      </c>
      <c r="AM93" s="15" t="str">
        <f>'Gov Rev'!A93</f>
        <v>Brooklyn Heights</v>
      </c>
      <c r="AN93" s="15" t="str">
        <f t="shared" si="4"/>
        <v>Brooklyn Heights</v>
      </c>
      <c r="AO93" s="15" t="b">
        <f t="shared" si="5"/>
        <v>1</v>
      </c>
    </row>
    <row r="94" spans="1:41" ht="12" customHeight="1" x14ac:dyDescent="0.2">
      <c r="A94" s="1" t="s">
        <v>16</v>
      </c>
      <c r="B94" s="1"/>
      <c r="C94" s="1" t="s">
        <v>741</v>
      </c>
      <c r="E94" s="24">
        <v>60261.33</v>
      </c>
      <c r="G94" s="24">
        <v>3624.08</v>
      </c>
      <c r="I94" s="24">
        <v>191.39</v>
      </c>
      <c r="K94" s="24">
        <v>0</v>
      </c>
      <c r="M94" s="24">
        <v>88.62</v>
      </c>
      <c r="O94" s="24">
        <v>42340.73</v>
      </c>
      <c r="Q94" s="24">
        <v>51738.14</v>
      </c>
      <c r="S94" s="24">
        <v>250111.67</v>
      </c>
      <c r="U94" s="24">
        <v>3208.34</v>
      </c>
      <c r="W94" s="24">
        <v>8116.66</v>
      </c>
      <c r="Y94" s="24">
        <v>0</v>
      </c>
      <c r="AA94" s="24">
        <v>0</v>
      </c>
      <c r="AC94" s="24">
        <v>0</v>
      </c>
      <c r="AE94" s="24">
        <f t="shared" si="3"/>
        <v>419680.96</v>
      </c>
      <c r="AF94" s="24"/>
      <c r="AG94" s="24">
        <v>26168.07</v>
      </c>
      <c r="AH94" s="24"/>
      <c r="AI94" s="24">
        <v>120401.69</v>
      </c>
      <c r="AJ94" s="24"/>
      <c r="AK94" s="24">
        <v>146569.76</v>
      </c>
      <c r="AL94" s="24">
        <f>+'Gov Rev'!AI94-'Gov Exp'!AE94+'Gov Exp'!AI94-'Gov Exp'!AK94</f>
        <v>0</v>
      </c>
      <c r="AM94" s="15" t="str">
        <f>'Gov Rev'!A94</f>
        <v>Brookside</v>
      </c>
      <c r="AN94" s="15" t="str">
        <f t="shared" si="4"/>
        <v>Brookside</v>
      </c>
      <c r="AO94" s="15" t="b">
        <f t="shared" si="5"/>
        <v>1</v>
      </c>
    </row>
    <row r="95" spans="1:41" s="31" customFormat="1" ht="12" customHeight="1" x14ac:dyDescent="0.2">
      <c r="A95" s="1" t="s">
        <v>497</v>
      </c>
      <c r="B95" s="1"/>
      <c r="C95" s="1" t="s">
        <v>496</v>
      </c>
      <c r="D95" s="15"/>
      <c r="E95" s="24">
        <v>2423.98</v>
      </c>
      <c r="F95" s="24"/>
      <c r="G95" s="24">
        <v>53.27</v>
      </c>
      <c r="H95" s="24"/>
      <c r="I95" s="24">
        <v>0</v>
      </c>
      <c r="J95" s="24"/>
      <c r="K95" s="24">
        <v>0</v>
      </c>
      <c r="L95" s="24"/>
      <c r="M95" s="24">
        <v>941.99</v>
      </c>
      <c r="N95" s="24"/>
      <c r="O95" s="24">
        <v>8006.5</v>
      </c>
      <c r="P95" s="24"/>
      <c r="Q95" s="24">
        <v>9234.8799999999992</v>
      </c>
      <c r="R95" s="24"/>
      <c r="S95" s="24">
        <v>0</v>
      </c>
      <c r="T95" s="24"/>
      <c r="U95" s="24">
        <v>0</v>
      </c>
      <c r="V95" s="24"/>
      <c r="W95" s="24">
        <v>0</v>
      </c>
      <c r="X95" s="24"/>
      <c r="Y95" s="24">
        <v>0</v>
      </c>
      <c r="Z95" s="24"/>
      <c r="AA95" s="24">
        <v>0</v>
      </c>
      <c r="AB95" s="24"/>
      <c r="AC95" s="24">
        <v>10</v>
      </c>
      <c r="AD95" s="24"/>
      <c r="AE95" s="24">
        <f t="shared" si="3"/>
        <v>20670.62</v>
      </c>
      <c r="AF95" s="24"/>
      <c r="AG95" s="24">
        <v>-621.71</v>
      </c>
      <c r="AH95" s="24"/>
      <c r="AI95" s="24">
        <v>85671.59</v>
      </c>
      <c r="AJ95" s="24"/>
      <c r="AK95" s="24">
        <v>85049.88</v>
      </c>
      <c r="AL95" s="24">
        <f>+'Gov Rev'!AI95-'Gov Exp'!AE95+'Gov Exp'!AI95-'Gov Exp'!AK95</f>
        <v>0</v>
      </c>
      <c r="AM95" s="15" t="str">
        <f>'Gov Rev'!A95</f>
        <v>Broughton</v>
      </c>
      <c r="AN95" s="15" t="str">
        <f t="shared" si="4"/>
        <v>Broughton</v>
      </c>
      <c r="AO95" s="15" t="b">
        <f t="shared" si="5"/>
        <v>1</v>
      </c>
    </row>
    <row r="96" spans="1:41" ht="12" hidden="1" customHeight="1" x14ac:dyDescent="0.2">
      <c r="A96" s="1" t="s">
        <v>272</v>
      </c>
      <c r="B96" s="1"/>
      <c r="C96" s="1" t="s">
        <v>271</v>
      </c>
      <c r="AE96" s="24">
        <f t="shared" si="3"/>
        <v>0</v>
      </c>
      <c r="AF96" s="24"/>
      <c r="AG96" s="24"/>
      <c r="AH96" s="24"/>
      <c r="AI96" s="24"/>
      <c r="AJ96" s="24"/>
      <c r="AK96" s="24"/>
      <c r="AL96" s="24">
        <f>+'Gov Rev'!AI96-'Gov Exp'!AE96+'Gov Exp'!AI96-'Gov Exp'!AK96</f>
        <v>0</v>
      </c>
      <c r="AM96" s="15" t="str">
        <f>'Gov Rev'!A96</f>
        <v>Buchtel</v>
      </c>
      <c r="AN96" s="15" t="str">
        <f t="shared" si="4"/>
        <v>Buchtel</v>
      </c>
      <c r="AO96" s="15" t="b">
        <f t="shared" si="5"/>
        <v>1</v>
      </c>
    </row>
    <row r="97" spans="1:41" ht="12" customHeight="1" x14ac:dyDescent="0.2">
      <c r="A97" s="1" t="s">
        <v>130</v>
      </c>
      <c r="B97" s="1"/>
      <c r="C97" s="1" t="s">
        <v>774</v>
      </c>
      <c r="E97" s="24">
        <v>474182.2</v>
      </c>
      <c r="G97" s="24">
        <v>9565.91</v>
      </c>
      <c r="I97" s="24">
        <v>3923.44</v>
      </c>
      <c r="K97" s="24">
        <v>45284.56</v>
      </c>
      <c r="M97" s="24">
        <v>898.73</v>
      </c>
      <c r="O97" s="24">
        <v>282704.73</v>
      </c>
      <c r="Q97" s="24">
        <v>149872.82999999999</v>
      </c>
      <c r="S97" s="24">
        <v>5508.39</v>
      </c>
      <c r="U97" s="24">
        <v>45700.36</v>
      </c>
      <c r="W97" s="24">
        <v>6425.92</v>
      </c>
      <c r="Y97" s="24">
        <v>150000</v>
      </c>
      <c r="AA97" s="24">
        <v>0</v>
      </c>
      <c r="AC97" s="24">
        <v>872.4</v>
      </c>
      <c r="AE97" s="24">
        <f t="shared" si="3"/>
        <v>1174939.4699999997</v>
      </c>
      <c r="AF97" s="24"/>
      <c r="AG97" s="24">
        <v>-92874.36</v>
      </c>
      <c r="AH97" s="24"/>
      <c r="AI97" s="24">
        <v>723657.69</v>
      </c>
      <c r="AJ97" s="24"/>
      <c r="AK97" s="24">
        <v>630783.32999999996</v>
      </c>
      <c r="AL97" s="24">
        <f>+'Gov Rev'!AI97-'Gov Exp'!AE97+'Gov Exp'!AI97-'Gov Exp'!AK97</f>
        <v>0</v>
      </c>
      <c r="AM97" s="15" t="str">
        <f>'Gov Rev'!A97</f>
        <v>Buckeye Lake</v>
      </c>
      <c r="AN97" s="15" t="str">
        <f t="shared" si="4"/>
        <v>Buckeye Lake</v>
      </c>
      <c r="AO97" s="15" t="b">
        <f t="shared" si="5"/>
        <v>1</v>
      </c>
    </row>
    <row r="98" spans="1:41" ht="12" customHeight="1" x14ac:dyDescent="0.2">
      <c r="A98" s="1" t="s">
        <v>11</v>
      </c>
      <c r="B98" s="1"/>
      <c r="C98" s="1" t="s">
        <v>740</v>
      </c>
      <c r="E98" s="24">
        <v>21151.39</v>
      </c>
      <c r="G98" s="24">
        <v>0</v>
      </c>
      <c r="I98" s="24">
        <v>8094.05</v>
      </c>
      <c r="K98" s="24">
        <v>0</v>
      </c>
      <c r="M98" s="24">
        <v>52118</v>
      </c>
      <c r="O98" s="24">
        <v>35509.839999999997</v>
      </c>
      <c r="Q98" s="24">
        <v>44604.14</v>
      </c>
      <c r="S98" s="24">
        <v>0</v>
      </c>
      <c r="U98" s="24">
        <v>0</v>
      </c>
      <c r="W98" s="24">
        <v>0</v>
      </c>
      <c r="Y98" s="24">
        <v>0</v>
      </c>
      <c r="AA98" s="24">
        <v>0</v>
      </c>
      <c r="AC98" s="24">
        <v>0</v>
      </c>
      <c r="AE98" s="24">
        <f t="shared" si="3"/>
        <v>161477.41999999998</v>
      </c>
      <c r="AF98" s="24"/>
      <c r="AG98" s="24">
        <v>-31876.7</v>
      </c>
      <c r="AH98" s="24"/>
      <c r="AI98" s="24">
        <v>116431.54</v>
      </c>
      <c r="AJ98" s="24"/>
      <c r="AK98" s="24">
        <v>84554.84</v>
      </c>
      <c r="AL98" s="24">
        <f>+'Gov Rev'!AI98-'Gov Exp'!AE98+'Gov Exp'!AI98-'Gov Exp'!AK98</f>
        <v>0</v>
      </c>
      <c r="AM98" s="15" t="str">
        <f>'Gov Rev'!A98</f>
        <v>Buckland</v>
      </c>
      <c r="AN98" s="15" t="str">
        <f t="shared" si="4"/>
        <v>Buckland</v>
      </c>
      <c r="AO98" s="15" t="b">
        <f t="shared" si="5"/>
        <v>1</v>
      </c>
    </row>
    <row r="99" spans="1:41" s="31" customFormat="1" ht="12" customHeight="1" x14ac:dyDescent="0.2">
      <c r="A99" s="1" t="s">
        <v>248</v>
      </c>
      <c r="B99" s="1"/>
      <c r="C99" s="1" t="s">
        <v>811</v>
      </c>
      <c r="D99" s="15"/>
      <c r="E99" s="24">
        <v>13841.94</v>
      </c>
      <c r="F99" s="24"/>
      <c r="G99" s="24">
        <v>0</v>
      </c>
      <c r="H99" s="24"/>
      <c r="I99" s="24">
        <v>7978.44</v>
      </c>
      <c r="J99" s="24"/>
      <c r="K99" s="24">
        <v>1789.51</v>
      </c>
      <c r="L99" s="24"/>
      <c r="M99" s="24">
        <v>5295.08</v>
      </c>
      <c r="N99" s="24"/>
      <c r="O99" s="24">
        <v>7907.64</v>
      </c>
      <c r="P99" s="24"/>
      <c r="Q99" s="24">
        <v>23020.35</v>
      </c>
      <c r="R99" s="24"/>
      <c r="S99" s="24">
        <v>6550</v>
      </c>
      <c r="T99" s="24"/>
      <c r="U99" s="24">
        <v>15000</v>
      </c>
      <c r="V99" s="24"/>
      <c r="W99" s="24">
        <v>0</v>
      </c>
      <c r="X99" s="24"/>
      <c r="Y99" s="24">
        <v>0</v>
      </c>
      <c r="Z99" s="24"/>
      <c r="AA99" s="24">
        <v>0</v>
      </c>
      <c r="AB99" s="24"/>
      <c r="AC99" s="24">
        <v>773.16</v>
      </c>
      <c r="AD99" s="24"/>
      <c r="AE99" s="24">
        <f t="shared" si="3"/>
        <v>82156.12</v>
      </c>
      <c r="AF99" s="24"/>
      <c r="AG99" s="24">
        <v>9537.59</v>
      </c>
      <c r="AH99" s="24"/>
      <c r="AI99" s="24">
        <v>218851.51</v>
      </c>
      <c r="AJ99" s="24"/>
      <c r="AK99" s="24">
        <v>228389.1</v>
      </c>
      <c r="AL99" s="24">
        <f>+'Gov Rev'!AI99-'Gov Exp'!AE99+'Gov Exp'!AI99-'Gov Exp'!AK99</f>
        <v>0</v>
      </c>
      <c r="AM99" s="15" t="str">
        <f>'Gov Rev'!A99</f>
        <v>Burbank</v>
      </c>
      <c r="AN99" s="15" t="str">
        <f t="shared" si="4"/>
        <v>Burbank</v>
      </c>
      <c r="AO99" s="15" t="b">
        <f t="shared" si="5"/>
        <v>1</v>
      </c>
    </row>
    <row r="100" spans="1:41" s="31" customFormat="1" ht="12" customHeight="1" x14ac:dyDescent="0.2">
      <c r="A100" s="15" t="s">
        <v>524</v>
      </c>
      <c r="B100" s="15"/>
      <c r="C100" s="15" t="s">
        <v>525</v>
      </c>
      <c r="D100" s="15"/>
      <c r="E100" s="24">
        <v>2931.66</v>
      </c>
      <c r="F100" s="24"/>
      <c r="G100" s="24">
        <v>0</v>
      </c>
      <c r="H100" s="24"/>
      <c r="I100" s="24">
        <v>3494.11</v>
      </c>
      <c r="J100" s="24"/>
      <c r="K100" s="24">
        <v>0</v>
      </c>
      <c r="L100" s="24"/>
      <c r="M100" s="24">
        <v>6270</v>
      </c>
      <c r="N100" s="24"/>
      <c r="O100" s="24">
        <v>26575.09</v>
      </c>
      <c r="P100" s="24"/>
      <c r="Q100" s="24">
        <v>13523.61</v>
      </c>
      <c r="R100" s="24"/>
      <c r="S100" s="24">
        <v>0</v>
      </c>
      <c r="T100" s="24"/>
      <c r="U100" s="24">
        <v>0</v>
      </c>
      <c r="V100" s="24"/>
      <c r="W100" s="24">
        <v>0</v>
      </c>
      <c r="X100" s="24"/>
      <c r="Y100" s="24">
        <v>0</v>
      </c>
      <c r="Z100" s="24"/>
      <c r="AA100" s="24">
        <v>0</v>
      </c>
      <c r="AB100" s="24"/>
      <c r="AC100" s="24">
        <v>0</v>
      </c>
      <c r="AD100" s="24"/>
      <c r="AE100" s="24">
        <f t="shared" si="3"/>
        <v>52794.47</v>
      </c>
      <c r="AF100" s="24"/>
      <c r="AG100" s="24">
        <v>-14141.84</v>
      </c>
      <c r="AH100" s="24"/>
      <c r="AI100" s="24">
        <v>107731.34</v>
      </c>
      <c r="AJ100" s="24"/>
      <c r="AK100" s="24">
        <v>93589.5</v>
      </c>
      <c r="AL100" s="24">
        <f>+'Gov Rev'!AI100-'Gov Exp'!AE100+'Gov Exp'!AI100-'Gov Exp'!AK100</f>
        <v>0</v>
      </c>
      <c r="AM100" s="15" t="str">
        <f>'Gov Rev'!A100</f>
        <v>Burgoon</v>
      </c>
      <c r="AN100" s="15" t="str">
        <f t="shared" si="4"/>
        <v>Burgoon</v>
      </c>
      <c r="AO100" s="15" t="b">
        <f t="shared" si="5"/>
        <v>1</v>
      </c>
    </row>
    <row r="101" spans="1:41" s="31" customFormat="1" ht="12" customHeight="1" x14ac:dyDescent="0.2">
      <c r="A101" s="15" t="s">
        <v>465</v>
      </c>
      <c r="B101" s="15"/>
      <c r="C101" s="15" t="s">
        <v>699</v>
      </c>
      <c r="D101" s="15"/>
      <c r="E101" s="24">
        <v>15985</v>
      </c>
      <c r="F101" s="24"/>
      <c r="G101" s="24">
        <v>768</v>
      </c>
      <c r="H101" s="24"/>
      <c r="I101" s="24">
        <v>6003</v>
      </c>
      <c r="J101" s="24"/>
      <c r="K101" s="24">
        <v>0</v>
      </c>
      <c r="L101" s="24"/>
      <c r="M101" s="24">
        <v>25</v>
      </c>
      <c r="N101" s="24"/>
      <c r="O101" s="24">
        <v>16257</v>
      </c>
      <c r="P101" s="24"/>
      <c r="Q101" s="24">
        <v>18964</v>
      </c>
      <c r="R101" s="24"/>
      <c r="S101" s="24">
        <v>0</v>
      </c>
      <c r="T101" s="24"/>
      <c r="U101" s="24">
        <v>26414</v>
      </c>
      <c r="V101" s="24"/>
      <c r="W101" s="24">
        <v>0</v>
      </c>
      <c r="X101" s="24"/>
      <c r="Y101" s="24">
        <v>0</v>
      </c>
      <c r="Z101" s="24"/>
      <c r="AA101" s="24">
        <v>0</v>
      </c>
      <c r="AB101" s="24"/>
      <c r="AC101" s="24">
        <v>0</v>
      </c>
      <c r="AD101" s="24"/>
      <c r="AE101" s="24">
        <f t="shared" si="3"/>
        <v>84416</v>
      </c>
      <c r="AF101" s="24"/>
      <c r="AG101" s="24">
        <v>11681</v>
      </c>
      <c r="AH101" s="24"/>
      <c r="AI101" s="24">
        <v>75315</v>
      </c>
      <c r="AJ101" s="24"/>
      <c r="AK101" s="24">
        <v>86996</v>
      </c>
      <c r="AL101" s="24">
        <f>+'Gov Rev'!AI101-'Gov Exp'!AE101+'Gov Exp'!AI101-'Gov Exp'!AK101</f>
        <v>0</v>
      </c>
      <c r="AM101" s="15" t="str">
        <f>'Gov Rev'!A101</f>
        <v>Burkettsville</v>
      </c>
      <c r="AN101" s="15" t="str">
        <f t="shared" si="4"/>
        <v>Burkettsville</v>
      </c>
      <c r="AO101" s="15" t="b">
        <f t="shared" si="5"/>
        <v>1</v>
      </c>
    </row>
    <row r="102" spans="1:41" ht="12" customHeight="1" x14ac:dyDescent="0.2">
      <c r="A102" s="15" t="s">
        <v>683</v>
      </c>
      <c r="C102" s="15" t="s">
        <v>366</v>
      </c>
      <c r="E102" s="24">
        <v>365280</v>
      </c>
      <c r="G102" s="24">
        <v>24264</v>
      </c>
      <c r="I102" s="24">
        <v>23648</v>
      </c>
      <c r="K102" s="24">
        <v>37379</v>
      </c>
      <c r="M102" s="24">
        <v>0</v>
      </c>
      <c r="O102" s="24">
        <v>196644</v>
      </c>
      <c r="Q102" s="24">
        <v>176434</v>
      </c>
      <c r="S102" s="24">
        <v>147138</v>
      </c>
      <c r="U102" s="24">
        <v>1980</v>
      </c>
      <c r="W102" s="24">
        <v>0</v>
      </c>
      <c r="Y102" s="24">
        <v>389660</v>
      </c>
      <c r="AA102" s="24">
        <v>23000</v>
      </c>
      <c r="AC102" s="24">
        <f>29505+1</f>
        <v>29506</v>
      </c>
      <c r="AE102" s="24">
        <f t="shared" si="3"/>
        <v>1414933</v>
      </c>
      <c r="AF102" s="24"/>
      <c r="AG102" s="24">
        <v>64500</v>
      </c>
      <c r="AH102" s="24"/>
      <c r="AI102" s="24">
        <v>1658053</v>
      </c>
      <c r="AJ102" s="24"/>
      <c r="AK102" s="24">
        <v>1722553</v>
      </c>
      <c r="AL102" s="24">
        <f>+'Gov Rev'!AI102-'Gov Exp'!AE102+'Gov Exp'!AI102-'Gov Exp'!AK102</f>
        <v>0</v>
      </c>
      <c r="AM102" s="15" t="str">
        <f>'Gov Rev'!A102</f>
        <v>Burton</v>
      </c>
      <c r="AN102" s="15" t="str">
        <f t="shared" si="4"/>
        <v>Burton</v>
      </c>
      <c r="AO102" s="15" t="b">
        <f t="shared" si="5"/>
        <v>1</v>
      </c>
    </row>
    <row r="103" spans="1:41" ht="12" customHeight="1" x14ac:dyDescent="0.2">
      <c r="A103" s="15" t="s">
        <v>518</v>
      </c>
      <c r="C103" s="15" t="s">
        <v>798</v>
      </c>
      <c r="E103" s="24">
        <v>69248</v>
      </c>
      <c r="G103" s="24">
        <v>0</v>
      </c>
      <c r="I103" s="24">
        <v>0</v>
      </c>
      <c r="K103" s="24">
        <v>6051</v>
      </c>
      <c r="M103" s="24">
        <v>181932</v>
      </c>
      <c r="O103" s="24">
        <v>86445</v>
      </c>
      <c r="Q103" s="24">
        <v>125947</v>
      </c>
      <c r="S103" s="24">
        <v>51920</v>
      </c>
      <c r="U103" s="24">
        <v>0</v>
      </c>
      <c r="W103" s="24">
        <v>0</v>
      </c>
      <c r="Y103" s="24">
        <v>0</v>
      </c>
      <c r="AA103" s="24">
        <v>0</v>
      </c>
      <c r="AC103" s="24">
        <v>0</v>
      </c>
      <c r="AE103" s="24">
        <f>SUM(E103:AC103)</f>
        <v>521543</v>
      </c>
      <c r="AF103" s="24"/>
      <c r="AG103" s="24">
        <v>7144</v>
      </c>
      <c r="AH103" s="24"/>
      <c r="AI103" s="24">
        <v>0</v>
      </c>
      <c r="AJ103" s="24"/>
      <c r="AK103" s="24">
        <v>7144</v>
      </c>
      <c r="AL103" s="24">
        <f>+'Gov Rev'!AI103-'Gov Exp'!AE103+'Gov Exp'!AI103-'Gov Exp'!AK103</f>
        <v>0</v>
      </c>
      <c r="AM103" s="15" t="str">
        <f>'Gov Rev'!A103</f>
        <v>Butler</v>
      </c>
      <c r="AN103" s="15" t="str">
        <f t="shared" si="4"/>
        <v>Butler</v>
      </c>
      <c r="AO103" s="15" t="b">
        <f t="shared" si="5"/>
        <v>1</v>
      </c>
    </row>
    <row r="104" spans="1:41" ht="12" customHeight="1" x14ac:dyDescent="0.2">
      <c r="A104" s="1" t="s">
        <v>241</v>
      </c>
      <c r="B104" s="1"/>
      <c r="C104" s="1" t="s">
        <v>809</v>
      </c>
      <c r="E104" s="24">
        <v>3655.55</v>
      </c>
      <c r="G104" s="24">
        <v>0</v>
      </c>
      <c r="I104" s="24">
        <v>0</v>
      </c>
      <c r="K104" s="24">
        <v>0</v>
      </c>
      <c r="M104" s="24">
        <v>0</v>
      </c>
      <c r="O104" s="24">
        <v>0</v>
      </c>
      <c r="Q104" s="24">
        <v>7755.73</v>
      </c>
      <c r="S104" s="24">
        <v>0</v>
      </c>
      <c r="U104" s="24">
        <v>0</v>
      </c>
      <c r="W104" s="24">
        <v>0</v>
      </c>
      <c r="Y104" s="24">
        <v>0</v>
      </c>
      <c r="AA104" s="24">
        <v>0</v>
      </c>
      <c r="AC104" s="24">
        <v>0</v>
      </c>
      <c r="AE104" s="24">
        <f t="shared" si="3"/>
        <v>11411.279999999999</v>
      </c>
      <c r="AF104" s="24"/>
      <c r="AG104" s="24">
        <v>9569.2099999999991</v>
      </c>
      <c r="AH104" s="24"/>
      <c r="AI104" s="24">
        <v>55078.96</v>
      </c>
      <c r="AJ104" s="24"/>
      <c r="AK104" s="24">
        <v>64648.17</v>
      </c>
      <c r="AL104" s="24">
        <f>+'Gov Rev'!AI104-'Gov Exp'!AE104+'Gov Exp'!AI104-'Gov Exp'!AK104</f>
        <v>0</v>
      </c>
      <c r="AM104" s="15" t="str">
        <f>'Gov Rev'!A104</f>
        <v>Butlerville</v>
      </c>
      <c r="AN104" s="15" t="str">
        <f t="shared" si="4"/>
        <v>Butlerville</v>
      </c>
      <c r="AO104" s="15" t="b">
        <f t="shared" si="5"/>
        <v>1</v>
      </c>
    </row>
    <row r="105" spans="1:41" ht="12" customHeight="1" x14ac:dyDescent="0.2">
      <c r="A105" s="1" t="s">
        <v>86</v>
      </c>
      <c r="B105" s="1"/>
      <c r="C105" s="1" t="s">
        <v>762</v>
      </c>
      <c r="D105" s="28"/>
      <c r="E105" s="24">
        <v>144589.81</v>
      </c>
      <c r="G105" s="24">
        <v>0</v>
      </c>
      <c r="I105" s="24">
        <v>18627.16</v>
      </c>
      <c r="K105" s="24">
        <v>0</v>
      </c>
      <c r="M105" s="24">
        <v>54701.75</v>
      </c>
      <c r="O105" s="24">
        <v>105758.92</v>
      </c>
      <c r="Q105" s="24">
        <v>199454.53</v>
      </c>
      <c r="S105" s="24">
        <v>490407.34</v>
      </c>
      <c r="U105" s="24">
        <v>0</v>
      </c>
      <c r="W105" s="24">
        <v>0</v>
      </c>
      <c r="Y105" s="24">
        <v>50000</v>
      </c>
      <c r="AA105" s="24">
        <v>0</v>
      </c>
      <c r="AC105" s="24">
        <v>0</v>
      </c>
      <c r="AE105" s="24">
        <f t="shared" si="3"/>
        <v>1063539.51</v>
      </c>
      <c r="AF105" s="24"/>
      <c r="AG105" s="24">
        <v>45902.5</v>
      </c>
      <c r="AH105" s="24"/>
      <c r="AI105" s="24">
        <v>234999.43</v>
      </c>
      <c r="AJ105" s="24"/>
      <c r="AK105" s="24">
        <v>280901.93</v>
      </c>
      <c r="AL105" s="24">
        <f>+'Gov Rev'!AI105-'Gov Exp'!AE105+'Gov Exp'!AI105-'Gov Exp'!AK105</f>
        <v>0</v>
      </c>
      <c r="AM105" s="15" t="str">
        <f>'Gov Rev'!A105</f>
        <v>Byesville</v>
      </c>
      <c r="AN105" s="15" t="str">
        <f t="shared" si="4"/>
        <v>Byesville</v>
      </c>
      <c r="AO105" s="15" t="b">
        <f t="shared" si="5"/>
        <v>1</v>
      </c>
    </row>
    <row r="106" spans="1:41" s="31" customFormat="1" ht="12" customHeight="1" x14ac:dyDescent="0.2">
      <c r="A106" s="1" t="s">
        <v>100</v>
      </c>
      <c r="B106" s="1"/>
      <c r="C106" s="1" t="s">
        <v>403</v>
      </c>
      <c r="D106" s="15"/>
      <c r="E106" s="24">
        <v>471677.1</v>
      </c>
      <c r="F106" s="24"/>
      <c r="G106" s="24">
        <v>22280.22</v>
      </c>
      <c r="H106" s="24"/>
      <c r="I106" s="24">
        <v>398079.2</v>
      </c>
      <c r="J106" s="24"/>
      <c r="K106" s="24">
        <v>1639.15</v>
      </c>
      <c r="L106" s="24"/>
      <c r="M106" s="24">
        <v>21404.23</v>
      </c>
      <c r="N106" s="24"/>
      <c r="O106" s="24">
        <v>313249.48</v>
      </c>
      <c r="P106" s="24"/>
      <c r="Q106" s="24">
        <v>316838.86</v>
      </c>
      <c r="R106" s="24"/>
      <c r="S106" s="24">
        <v>241469.52</v>
      </c>
      <c r="T106" s="24"/>
      <c r="U106" s="24">
        <v>81073.77</v>
      </c>
      <c r="V106" s="24"/>
      <c r="W106" s="24">
        <v>7572.79</v>
      </c>
      <c r="X106" s="24"/>
      <c r="Y106" s="24">
        <v>0</v>
      </c>
      <c r="Z106" s="24"/>
      <c r="AA106" s="24">
        <v>0</v>
      </c>
      <c r="AB106" s="24"/>
      <c r="AC106" s="24">
        <v>35000</v>
      </c>
      <c r="AD106" s="24"/>
      <c r="AE106" s="24">
        <f t="shared" si="3"/>
        <v>1910284.3199999998</v>
      </c>
      <c r="AF106" s="24"/>
      <c r="AG106" s="24">
        <v>1101661.82</v>
      </c>
      <c r="AH106" s="24"/>
      <c r="AI106" s="24">
        <v>557702.59</v>
      </c>
      <c r="AJ106" s="24"/>
      <c r="AK106" s="24">
        <v>1659364.41</v>
      </c>
      <c r="AL106" s="24">
        <f>+'Gov Rev'!AI106-'Gov Exp'!AE106+'Gov Exp'!AI106-'Gov Exp'!AK106</f>
        <v>0</v>
      </c>
      <c r="AM106" s="15" t="str">
        <f>'Gov Rev'!A106</f>
        <v>Cadiz</v>
      </c>
      <c r="AN106" s="15" t="str">
        <f t="shared" si="4"/>
        <v>Cadiz</v>
      </c>
      <c r="AO106" s="15" t="b">
        <f t="shared" si="5"/>
        <v>1</v>
      </c>
    </row>
    <row r="107" spans="1:41" ht="12" customHeight="1" x14ac:dyDescent="0.2">
      <c r="A107" s="1" t="s">
        <v>702</v>
      </c>
      <c r="B107" s="1"/>
      <c r="C107" s="1" t="s">
        <v>703</v>
      </c>
      <c r="D107" s="28"/>
      <c r="E107" s="24">
        <v>14278.53</v>
      </c>
      <c r="G107" s="24">
        <v>1347.42</v>
      </c>
      <c r="I107" s="24">
        <v>7177.09</v>
      </c>
      <c r="K107" s="24">
        <v>2928.71</v>
      </c>
      <c r="M107" s="24">
        <v>0</v>
      </c>
      <c r="O107" s="24">
        <v>12692.18</v>
      </c>
      <c r="Q107" s="24">
        <v>56870.76</v>
      </c>
      <c r="S107" s="24">
        <v>0</v>
      </c>
      <c r="U107" s="24">
        <v>23700</v>
      </c>
      <c r="W107" s="24">
        <v>27312.5</v>
      </c>
      <c r="Y107" s="24">
        <v>0</v>
      </c>
      <c r="AA107" s="24">
        <v>0</v>
      </c>
      <c r="AC107" s="24">
        <v>0</v>
      </c>
      <c r="AE107" s="24">
        <f t="shared" si="3"/>
        <v>146307.19</v>
      </c>
      <c r="AF107" s="24"/>
      <c r="AG107" s="24">
        <v>35352.61</v>
      </c>
      <c r="AH107" s="24"/>
      <c r="AI107" s="24">
        <v>203247.43</v>
      </c>
      <c r="AJ107" s="24"/>
      <c r="AK107" s="24">
        <v>238600.04</v>
      </c>
      <c r="AL107" s="24">
        <f>+'Gov Rev'!AI107-'Gov Exp'!AE107+'Gov Exp'!AI107-'Gov Exp'!AK107</f>
        <v>0</v>
      </c>
      <c r="AM107" s="15" t="str">
        <f>'Gov Rev'!A107</f>
        <v>Cairo</v>
      </c>
      <c r="AN107" s="15" t="str">
        <f t="shared" si="4"/>
        <v>Cairo</v>
      </c>
      <c r="AO107" s="15" t="b">
        <f t="shared" si="5"/>
        <v>1</v>
      </c>
    </row>
    <row r="108" spans="1:41" ht="12" customHeight="1" x14ac:dyDescent="0.2">
      <c r="A108" s="1" t="s">
        <v>177</v>
      </c>
      <c r="B108" s="1"/>
      <c r="C108" s="1" t="s">
        <v>790</v>
      </c>
      <c r="E108" s="24">
        <v>128771.28</v>
      </c>
      <c r="G108" s="24">
        <v>3733.65</v>
      </c>
      <c r="I108" s="24">
        <v>0</v>
      </c>
      <c r="K108" s="24">
        <v>770</v>
      </c>
      <c r="M108" s="24">
        <v>0</v>
      </c>
      <c r="O108" s="24">
        <v>211953.03</v>
      </c>
      <c r="Q108" s="24">
        <v>278579.94</v>
      </c>
      <c r="S108" s="24">
        <v>0</v>
      </c>
      <c r="U108" s="24">
        <v>0</v>
      </c>
      <c r="W108" s="24">
        <v>0</v>
      </c>
      <c r="Y108" s="24">
        <v>4863.47</v>
      </c>
      <c r="AA108" s="24">
        <v>0</v>
      </c>
      <c r="AC108" s="24">
        <v>7028.97</v>
      </c>
      <c r="AE108" s="24">
        <f t="shared" si="3"/>
        <v>635700.33999999985</v>
      </c>
      <c r="AF108" s="24"/>
      <c r="AG108" s="24">
        <v>41632.31</v>
      </c>
      <c r="AH108" s="24"/>
      <c r="AI108" s="24">
        <v>1903366.71</v>
      </c>
      <c r="AJ108" s="24"/>
      <c r="AK108" s="24">
        <v>1944999.02</v>
      </c>
      <c r="AL108" s="24">
        <f>+'Gov Rev'!AI108-'Gov Exp'!AE108+'Gov Exp'!AI108-'Gov Exp'!AK108</f>
        <v>0</v>
      </c>
      <c r="AM108" s="15" t="str">
        <f>'Gov Rev'!A108</f>
        <v>Caldwell</v>
      </c>
      <c r="AN108" s="15" t="str">
        <f t="shared" si="4"/>
        <v>Caldwell</v>
      </c>
      <c r="AO108" s="15" t="b">
        <f t="shared" si="5"/>
        <v>1</v>
      </c>
    </row>
    <row r="109" spans="1:41" s="31" customFormat="1" ht="12" customHeight="1" x14ac:dyDescent="0.2">
      <c r="A109" s="1" t="s">
        <v>147</v>
      </c>
      <c r="B109" s="1"/>
      <c r="C109" s="1" t="s">
        <v>780</v>
      </c>
      <c r="D109" s="15"/>
      <c r="E109" s="24">
        <v>21341.68</v>
      </c>
      <c r="F109" s="24"/>
      <c r="G109" s="24">
        <v>1622.5</v>
      </c>
      <c r="H109" s="24"/>
      <c r="I109" s="24">
        <v>34746.67</v>
      </c>
      <c r="J109" s="24"/>
      <c r="K109" s="24">
        <v>4632.43</v>
      </c>
      <c r="L109" s="24"/>
      <c r="M109" s="24">
        <v>26.8</v>
      </c>
      <c r="N109" s="24"/>
      <c r="O109" s="24">
        <v>15240.68</v>
      </c>
      <c r="P109" s="24"/>
      <c r="Q109" s="24">
        <v>47891.42</v>
      </c>
      <c r="R109" s="24"/>
      <c r="S109" s="24">
        <v>995</v>
      </c>
      <c r="T109" s="24"/>
      <c r="U109" s="24">
        <v>834.67</v>
      </c>
      <c r="V109" s="24"/>
      <c r="W109" s="24">
        <v>0</v>
      </c>
      <c r="X109" s="24"/>
      <c r="Y109" s="24">
        <v>278.37</v>
      </c>
      <c r="Z109" s="24"/>
      <c r="AA109" s="24">
        <v>0</v>
      </c>
      <c r="AB109" s="24"/>
      <c r="AC109" s="24">
        <v>0</v>
      </c>
      <c r="AD109" s="24"/>
      <c r="AE109" s="24">
        <f t="shared" si="3"/>
        <v>127610.22</v>
      </c>
      <c r="AF109" s="24"/>
      <c r="AG109" s="24">
        <v>-993.51</v>
      </c>
      <c r="AH109" s="24"/>
      <c r="AI109" s="24">
        <v>222579.75</v>
      </c>
      <c r="AJ109" s="24"/>
      <c r="AK109" s="24">
        <v>221586.24</v>
      </c>
      <c r="AL109" s="24">
        <f>+'Gov Rev'!AI109-'Gov Exp'!AE109+'Gov Exp'!AI109-'Gov Exp'!AK109</f>
        <v>0</v>
      </c>
      <c r="AM109" s="15" t="str">
        <f>'Gov Rev'!A109</f>
        <v>Caledonia</v>
      </c>
      <c r="AN109" s="15" t="str">
        <f t="shared" si="4"/>
        <v>Caledonia</v>
      </c>
      <c r="AO109" s="15" t="b">
        <f t="shared" si="5"/>
        <v>1</v>
      </c>
    </row>
    <row r="110" spans="1:41" s="31" customFormat="1" ht="12" customHeight="1" x14ac:dyDescent="0.2">
      <c r="A110" s="1" t="s">
        <v>198</v>
      </c>
      <c r="B110" s="1"/>
      <c r="C110" s="1" t="s">
        <v>796</v>
      </c>
      <c r="D110" s="15"/>
      <c r="E110" s="24">
        <v>190499.68</v>
      </c>
      <c r="F110" s="24"/>
      <c r="G110" s="24">
        <v>0</v>
      </c>
      <c r="H110" s="24"/>
      <c r="I110" s="24">
        <v>0</v>
      </c>
      <c r="J110" s="24"/>
      <c r="K110" s="24">
        <v>0</v>
      </c>
      <c r="L110" s="24"/>
      <c r="M110" s="24">
        <v>20181.75</v>
      </c>
      <c r="N110" s="24"/>
      <c r="O110" s="24">
        <v>326596.28000000003</v>
      </c>
      <c r="P110" s="24"/>
      <c r="Q110" s="24">
        <v>125205.63</v>
      </c>
      <c r="R110" s="24"/>
      <c r="S110" s="24">
        <v>0</v>
      </c>
      <c r="T110" s="24"/>
      <c r="U110" s="24">
        <v>0</v>
      </c>
      <c r="V110" s="24"/>
      <c r="W110" s="24">
        <v>0</v>
      </c>
      <c r="X110" s="24"/>
      <c r="Y110" s="24">
        <v>0</v>
      </c>
      <c r="Z110" s="24"/>
      <c r="AA110" s="24">
        <v>0</v>
      </c>
      <c r="AB110" s="24"/>
      <c r="AC110" s="24">
        <v>0</v>
      </c>
      <c r="AD110" s="24"/>
      <c r="AE110" s="24">
        <f t="shared" si="3"/>
        <v>662483.34</v>
      </c>
      <c r="AF110" s="24"/>
      <c r="AG110" s="24">
        <v>38187.47</v>
      </c>
      <c r="AH110" s="24"/>
      <c r="AI110" s="24">
        <v>270373.01</v>
      </c>
      <c r="AJ110" s="24"/>
      <c r="AK110" s="24">
        <v>308560.48</v>
      </c>
      <c r="AL110" s="24">
        <f>+'Gov Rev'!AI110-'Gov Exp'!AE110+'Gov Exp'!AI110-'Gov Exp'!AK110</f>
        <v>0</v>
      </c>
      <c r="AM110" s="15" t="str">
        <f>'Gov Rev'!A110</f>
        <v>Camden</v>
      </c>
      <c r="AN110" s="15" t="str">
        <f t="shared" si="4"/>
        <v>Camden</v>
      </c>
      <c r="AO110" s="15" t="b">
        <f t="shared" si="5"/>
        <v>1</v>
      </c>
    </row>
    <row r="111" spans="1:41" ht="12" hidden="1" customHeight="1" x14ac:dyDescent="0.2">
      <c r="A111" s="1" t="s">
        <v>352</v>
      </c>
      <c r="B111" s="1"/>
      <c r="C111" s="1" t="s">
        <v>353</v>
      </c>
      <c r="AE111" s="24">
        <f t="shared" si="3"/>
        <v>0</v>
      </c>
      <c r="AF111" s="24"/>
      <c r="AG111" s="24"/>
      <c r="AH111" s="24"/>
      <c r="AI111" s="24"/>
      <c r="AJ111" s="24"/>
      <c r="AK111" s="24"/>
      <c r="AL111" s="24">
        <f>+'Gov Rev'!AI111-'Gov Exp'!AE111+'Gov Exp'!AI111-'Gov Exp'!AK111</f>
        <v>0</v>
      </c>
      <c r="AM111" s="15" t="str">
        <f>'Gov Rev'!A111</f>
        <v>Canal Winchester</v>
      </c>
      <c r="AN111" s="15" t="str">
        <f t="shared" si="4"/>
        <v>Canal Winchester</v>
      </c>
      <c r="AO111" s="15" t="b">
        <f t="shared" si="5"/>
        <v>1</v>
      </c>
    </row>
    <row r="112" spans="1:41" ht="12" customHeight="1" x14ac:dyDescent="0.2">
      <c r="A112" s="15" t="s">
        <v>170</v>
      </c>
      <c r="C112" s="15" t="s">
        <v>788</v>
      </c>
      <c r="D112" s="28"/>
      <c r="E112" s="24">
        <v>390120</v>
      </c>
      <c r="G112" s="24">
        <v>1417</v>
      </c>
      <c r="I112" s="24">
        <v>12820</v>
      </c>
      <c r="K112" s="24">
        <v>1624</v>
      </c>
      <c r="M112" s="24">
        <v>2023</v>
      </c>
      <c r="O112" s="24">
        <v>187455</v>
      </c>
      <c r="Q112" s="24">
        <v>359828</v>
      </c>
      <c r="S112" s="24">
        <v>64742</v>
      </c>
      <c r="U112" s="24">
        <v>0</v>
      </c>
      <c r="W112" s="24">
        <v>0</v>
      </c>
      <c r="Y112" s="24">
        <v>0</v>
      </c>
      <c r="AA112" s="24">
        <v>0</v>
      </c>
      <c r="AC112" s="24">
        <f>86+315017+1</f>
        <v>315104</v>
      </c>
      <c r="AE112" s="24">
        <f t="shared" si="3"/>
        <v>1335133</v>
      </c>
      <c r="AF112" s="24"/>
      <c r="AG112" s="24">
        <v>251555</v>
      </c>
      <c r="AH112" s="24"/>
      <c r="AI112" s="24">
        <v>739875</v>
      </c>
      <c r="AJ112" s="24"/>
      <c r="AK112" s="24">
        <v>991430</v>
      </c>
      <c r="AL112" s="24">
        <f>+'Gov Rev'!AI112-'Gov Exp'!AE112+'Gov Exp'!AI112-'Gov Exp'!AK112</f>
        <v>0</v>
      </c>
      <c r="AM112" s="15" t="str">
        <f>'Gov Rev'!A112</f>
        <v>Cardington</v>
      </c>
      <c r="AN112" s="15" t="str">
        <f t="shared" si="4"/>
        <v>Cardington</v>
      </c>
      <c r="AO112" s="15" t="b">
        <f t="shared" si="5"/>
        <v>1</v>
      </c>
    </row>
    <row r="113" spans="1:41" ht="12" customHeight="1" x14ac:dyDescent="0.2">
      <c r="A113" s="15" t="s">
        <v>608</v>
      </c>
      <c r="C113" s="15" t="s">
        <v>609</v>
      </c>
      <c r="E113" s="24">
        <v>897832</v>
      </c>
      <c r="G113" s="24">
        <v>40816</v>
      </c>
      <c r="I113" s="24">
        <v>99470</v>
      </c>
      <c r="K113" s="24">
        <v>5784</v>
      </c>
      <c r="M113" s="24">
        <v>1831</v>
      </c>
      <c r="O113" s="24">
        <v>229210</v>
      </c>
      <c r="Q113" s="24">
        <v>244380</v>
      </c>
      <c r="S113" s="24">
        <v>6979</v>
      </c>
      <c r="U113" s="24">
        <v>50000</v>
      </c>
      <c r="W113" s="24">
        <v>12856</v>
      </c>
      <c r="Y113" s="24">
        <v>0</v>
      </c>
      <c r="AA113" s="24">
        <v>0</v>
      </c>
      <c r="AC113" s="24">
        <v>0</v>
      </c>
      <c r="AE113" s="24">
        <f t="shared" si="3"/>
        <v>1589158</v>
      </c>
      <c r="AF113" s="24"/>
      <c r="AG113" s="24">
        <v>61096</v>
      </c>
      <c r="AH113" s="24"/>
      <c r="AI113" s="24">
        <v>1359539</v>
      </c>
      <c r="AJ113" s="24"/>
      <c r="AK113" s="24">
        <v>1420635</v>
      </c>
      <c r="AL113" s="24">
        <f>+'Gov Rev'!AI113-'Gov Exp'!AE113+'Gov Exp'!AI113-'Gov Exp'!AK113</f>
        <v>0</v>
      </c>
      <c r="AM113" s="15" t="str">
        <f>'Gov Rev'!A113</f>
        <v>Carey</v>
      </c>
      <c r="AN113" s="15" t="str">
        <f t="shared" si="4"/>
        <v>Carey</v>
      </c>
      <c r="AO113" s="15" t="b">
        <f t="shared" si="5"/>
        <v>1</v>
      </c>
    </row>
    <row r="114" spans="1:41" ht="12" customHeight="1" x14ac:dyDescent="0.2">
      <c r="A114" s="15" t="s">
        <v>942</v>
      </c>
      <c r="C114" s="15" t="s">
        <v>809</v>
      </c>
      <c r="E114" s="24">
        <v>754402</v>
      </c>
      <c r="G114" s="24">
        <v>0</v>
      </c>
      <c r="I114" s="24">
        <v>6494</v>
      </c>
      <c r="K114" s="24">
        <v>124567</v>
      </c>
      <c r="M114" s="24">
        <v>0</v>
      </c>
      <c r="O114" s="24">
        <v>167204</v>
      </c>
      <c r="Q114" s="24">
        <v>807376</v>
      </c>
      <c r="S114" s="24">
        <v>909533</v>
      </c>
      <c r="U114" s="24">
        <v>2146234</v>
      </c>
      <c r="W114" s="24">
        <v>71278</v>
      </c>
      <c r="Y114" s="24">
        <v>181500</v>
      </c>
      <c r="AA114" s="24">
        <v>0</v>
      </c>
      <c r="AC114" s="24">
        <v>0</v>
      </c>
      <c r="AE114" s="24">
        <f t="shared" si="3"/>
        <v>5168588</v>
      </c>
      <c r="AF114" s="24"/>
      <c r="AG114" s="24">
        <v>-75838</v>
      </c>
      <c r="AH114" s="24"/>
      <c r="AI114" s="24">
        <v>1815884</v>
      </c>
      <c r="AJ114" s="24"/>
      <c r="AK114" s="24">
        <v>1740046</v>
      </c>
      <c r="AL114" s="24">
        <f>+'Gov Rev'!AI114-'Gov Exp'!AE114+'Gov Exp'!AI114-'Gov Exp'!AK114</f>
        <v>0</v>
      </c>
      <c r="AM114" s="15" t="str">
        <f>'Gov Rev'!A114</f>
        <v>Carlisle</v>
      </c>
      <c r="AN114" s="15" t="str">
        <f t="shared" si="4"/>
        <v>Carlisle</v>
      </c>
      <c r="AO114" s="15" t="b">
        <f t="shared" si="5"/>
        <v>1</v>
      </c>
    </row>
    <row r="115" spans="1:41" ht="12" customHeight="1" x14ac:dyDescent="0.2">
      <c r="A115" s="1" t="s">
        <v>62</v>
      </c>
      <c r="B115" s="1"/>
      <c r="C115" s="1" t="s">
        <v>756</v>
      </c>
      <c r="D115" s="37"/>
      <c r="E115" s="24">
        <v>83262.66</v>
      </c>
      <c r="G115" s="24">
        <v>1917</v>
      </c>
      <c r="I115" s="24">
        <v>25964.02</v>
      </c>
      <c r="K115" s="24">
        <v>8467.66</v>
      </c>
      <c r="M115" s="24">
        <v>0</v>
      </c>
      <c r="O115" s="24">
        <v>37277.32</v>
      </c>
      <c r="Q115" s="24">
        <v>65989.97</v>
      </c>
      <c r="S115" s="24">
        <v>1954.56</v>
      </c>
      <c r="U115" s="24">
        <v>0</v>
      </c>
      <c r="W115" s="24">
        <v>0</v>
      </c>
      <c r="Y115" s="24">
        <v>500</v>
      </c>
      <c r="AA115" s="24">
        <v>0</v>
      </c>
      <c r="AC115" s="24">
        <v>0</v>
      </c>
      <c r="AE115" s="24">
        <f t="shared" si="3"/>
        <v>225333.19</v>
      </c>
      <c r="AF115" s="24"/>
      <c r="AG115" s="24">
        <v>94018.77</v>
      </c>
      <c r="AH115" s="24"/>
      <c r="AI115" s="24">
        <v>215945.09</v>
      </c>
      <c r="AJ115" s="24"/>
      <c r="AK115" s="24">
        <v>309963.86</v>
      </c>
      <c r="AL115" s="24">
        <f>+'Gov Rev'!AI115-'Gov Exp'!AE115+'Gov Exp'!AI115-'Gov Exp'!AK115</f>
        <v>0</v>
      </c>
      <c r="AM115" s="15" t="str">
        <f>'Gov Rev'!A115</f>
        <v>Carroll</v>
      </c>
      <c r="AN115" s="15" t="str">
        <f t="shared" si="4"/>
        <v>Carroll</v>
      </c>
      <c r="AO115" s="15" t="b">
        <f t="shared" si="5"/>
        <v>1</v>
      </c>
    </row>
    <row r="116" spans="1:41" ht="12" customHeight="1" x14ac:dyDescent="0.2">
      <c r="A116" s="15" t="s">
        <v>285</v>
      </c>
      <c r="C116" s="15" t="s">
        <v>62</v>
      </c>
      <c r="E116" s="24">
        <v>586232</v>
      </c>
      <c r="G116" s="24">
        <v>21400</v>
      </c>
      <c r="I116" s="24">
        <v>23229</v>
      </c>
      <c r="K116" s="24">
        <v>5220</v>
      </c>
      <c r="M116" s="24">
        <v>0</v>
      </c>
      <c r="O116" s="24">
        <v>396139</v>
      </c>
      <c r="Q116" s="24">
        <v>356551</v>
      </c>
      <c r="S116" s="24">
        <v>539811</v>
      </c>
      <c r="U116" s="24">
        <v>64689</v>
      </c>
      <c r="W116" s="24">
        <v>-421</v>
      </c>
      <c r="Y116" s="24">
        <v>865500</v>
      </c>
      <c r="AA116" s="24">
        <v>0</v>
      </c>
      <c r="AC116" s="24">
        <v>21597</v>
      </c>
      <c r="AE116" s="24">
        <f t="shared" si="3"/>
        <v>2879947</v>
      </c>
      <c r="AF116" s="24"/>
      <c r="AG116" s="24">
        <v>1109767</v>
      </c>
      <c r="AH116" s="24"/>
      <c r="AI116" s="24">
        <v>865721</v>
      </c>
      <c r="AJ116" s="24"/>
      <c r="AK116" s="24">
        <v>1975488</v>
      </c>
      <c r="AL116" s="24">
        <f>+'Gov Rev'!AI116-'Gov Exp'!AE116+'Gov Exp'!AI116-'Gov Exp'!AK116</f>
        <v>0</v>
      </c>
      <c r="AM116" s="15" t="str">
        <f>'Gov Rev'!A116</f>
        <v>Carrollton</v>
      </c>
      <c r="AN116" s="15" t="str">
        <f t="shared" si="4"/>
        <v>Carrollton</v>
      </c>
      <c r="AO116" s="15" t="b">
        <f t="shared" si="5"/>
        <v>1</v>
      </c>
    </row>
    <row r="117" spans="1:41" s="24" customFormat="1" ht="12" customHeight="1" x14ac:dyDescent="0.2">
      <c r="A117" s="1" t="s">
        <v>917</v>
      </c>
      <c r="B117" s="1"/>
      <c r="C117" s="1" t="s">
        <v>470</v>
      </c>
      <c r="D117" s="15"/>
      <c r="E117" s="24">
        <v>17772.47</v>
      </c>
      <c r="G117" s="24">
        <v>47420.3</v>
      </c>
      <c r="I117" s="24">
        <v>215.66</v>
      </c>
      <c r="K117" s="24">
        <v>0</v>
      </c>
      <c r="M117" s="24">
        <v>0</v>
      </c>
      <c r="O117" s="24">
        <v>9418.1200000000008</v>
      </c>
      <c r="Q117" s="24">
        <v>31415.279999999999</v>
      </c>
      <c r="S117" s="24">
        <v>0</v>
      </c>
      <c r="U117" s="24">
        <v>0</v>
      </c>
      <c r="W117" s="24">
        <v>0</v>
      </c>
      <c r="Y117" s="24">
        <v>0</v>
      </c>
      <c r="AA117" s="24">
        <v>0</v>
      </c>
      <c r="AC117" s="24">
        <v>0</v>
      </c>
      <c r="AE117" s="24">
        <f t="shared" si="3"/>
        <v>106241.83</v>
      </c>
      <c r="AG117" s="24">
        <v>-11389.82</v>
      </c>
      <c r="AI117" s="24">
        <v>508421.51</v>
      </c>
      <c r="AK117" s="24">
        <v>497031.69</v>
      </c>
      <c r="AL117" s="24">
        <f>+'Gov Rev'!AI117-'Gov Exp'!AE117+'Gov Exp'!AI117-'Gov Exp'!AK117</f>
        <v>0</v>
      </c>
      <c r="AM117" s="15" t="str">
        <f>'Gov Rev'!A117</f>
        <v>Casstown</v>
      </c>
      <c r="AN117" s="15" t="str">
        <f t="shared" si="4"/>
        <v>Casstown</v>
      </c>
      <c r="AO117" s="15" t="b">
        <f t="shared" si="5"/>
        <v>1</v>
      </c>
    </row>
    <row r="118" spans="1:41" ht="12" customHeight="1" x14ac:dyDescent="0.2">
      <c r="A118" s="1" t="s">
        <v>60</v>
      </c>
      <c r="B118" s="1"/>
      <c r="C118" s="1" t="s">
        <v>755</v>
      </c>
      <c r="E118" s="24">
        <v>161480.29999999999</v>
      </c>
      <c r="G118" s="24">
        <v>1170</v>
      </c>
      <c r="I118" s="24">
        <v>5357.44</v>
      </c>
      <c r="K118" s="24">
        <v>1348.04</v>
      </c>
      <c r="M118" s="24">
        <v>4500</v>
      </c>
      <c r="O118" s="24">
        <v>83151.5</v>
      </c>
      <c r="Q118" s="24">
        <v>61598.05</v>
      </c>
      <c r="S118" s="24">
        <v>45061.91</v>
      </c>
      <c r="U118" s="24">
        <v>0</v>
      </c>
      <c r="W118" s="24">
        <v>0</v>
      </c>
      <c r="Y118" s="24">
        <v>0</v>
      </c>
      <c r="AA118" s="24">
        <v>0</v>
      </c>
      <c r="AC118" s="24">
        <v>0</v>
      </c>
      <c r="AE118" s="24">
        <f t="shared" si="3"/>
        <v>363667.24</v>
      </c>
      <c r="AF118" s="24"/>
      <c r="AG118" s="24">
        <v>-100689.42</v>
      </c>
      <c r="AH118" s="24"/>
      <c r="AI118" s="24">
        <v>471331.64</v>
      </c>
      <c r="AJ118" s="24"/>
      <c r="AK118" s="24">
        <v>370642.22</v>
      </c>
      <c r="AL118" s="24">
        <f>+'Gov Rev'!AI118-'Gov Exp'!AE118+'Gov Exp'!AI118-'Gov Exp'!AK118</f>
        <v>0</v>
      </c>
      <c r="AM118" s="15" t="str">
        <f>'Gov Rev'!A118</f>
        <v>Castalia</v>
      </c>
      <c r="AN118" s="15" t="str">
        <f t="shared" si="4"/>
        <v>Castalia</v>
      </c>
      <c r="AO118" s="15" t="b">
        <f t="shared" si="5"/>
        <v>1</v>
      </c>
    </row>
    <row r="119" spans="1:41" ht="12" hidden="1" customHeight="1" x14ac:dyDescent="0.2">
      <c r="A119" s="1" t="s">
        <v>51</v>
      </c>
      <c r="B119" s="1"/>
      <c r="C119" s="1" t="s">
        <v>329</v>
      </c>
      <c r="AE119" s="24">
        <f t="shared" si="3"/>
        <v>0</v>
      </c>
      <c r="AF119" s="24"/>
      <c r="AG119" s="24"/>
      <c r="AH119" s="24"/>
      <c r="AI119" s="24"/>
      <c r="AJ119" s="24"/>
      <c r="AK119" s="24"/>
      <c r="AL119" s="24">
        <f>+'Gov Rev'!AI119-'Gov Exp'!AE119+'Gov Exp'!AI119-'Gov Exp'!AK119</f>
        <v>0</v>
      </c>
      <c r="AM119" s="15" t="str">
        <f>'Gov Rev'!A119</f>
        <v>Castine</v>
      </c>
      <c r="AN119" s="15" t="str">
        <f t="shared" si="4"/>
        <v>Castine</v>
      </c>
      <c r="AO119" s="15" t="b">
        <f t="shared" si="5"/>
        <v>1</v>
      </c>
    </row>
    <row r="120" spans="1:41" ht="12" customHeight="1" x14ac:dyDescent="0.2">
      <c r="A120" s="1" t="s">
        <v>34</v>
      </c>
      <c r="B120" s="1"/>
      <c r="C120" s="1" t="s">
        <v>746</v>
      </c>
      <c r="E120" s="24">
        <v>23474.42</v>
      </c>
      <c r="G120" s="24">
        <v>0</v>
      </c>
      <c r="I120" s="24">
        <v>150</v>
      </c>
      <c r="K120" s="24">
        <v>0</v>
      </c>
      <c r="M120" s="24">
        <v>0</v>
      </c>
      <c r="O120" s="24">
        <v>2660.22</v>
      </c>
      <c r="Q120" s="24">
        <v>32002.97</v>
      </c>
      <c r="S120" s="24">
        <v>0</v>
      </c>
      <c r="U120" s="24">
        <v>0</v>
      </c>
      <c r="W120" s="24">
        <v>0</v>
      </c>
      <c r="Y120" s="24">
        <v>0</v>
      </c>
      <c r="AA120" s="24">
        <v>0</v>
      </c>
      <c r="AC120" s="24">
        <v>6502.3</v>
      </c>
      <c r="AE120" s="24">
        <f t="shared" si="3"/>
        <v>64789.91</v>
      </c>
      <c r="AF120" s="24"/>
      <c r="AG120" s="24">
        <v>20692</v>
      </c>
      <c r="AH120" s="24"/>
      <c r="AI120" s="24">
        <v>82858.95</v>
      </c>
      <c r="AJ120" s="24"/>
      <c r="AK120" s="24">
        <v>103550.95</v>
      </c>
      <c r="AL120" s="24">
        <f>+'Gov Rev'!AI120-'Gov Exp'!AE120+'Gov Exp'!AI120-'Gov Exp'!AK120</f>
        <v>0</v>
      </c>
      <c r="AM120" s="15" t="str">
        <f>'Gov Rev'!A120</f>
        <v>Catawba</v>
      </c>
      <c r="AN120" s="15" t="str">
        <f t="shared" si="4"/>
        <v>Catawba</v>
      </c>
      <c r="AO120" s="15" t="b">
        <f t="shared" si="5"/>
        <v>1</v>
      </c>
    </row>
    <row r="121" spans="1:41" ht="12" customHeight="1" x14ac:dyDescent="0.2">
      <c r="A121" s="1" t="s">
        <v>182</v>
      </c>
      <c r="B121" s="1"/>
      <c r="C121" s="1" t="s">
        <v>792</v>
      </c>
      <c r="E121" s="24">
        <v>2546.17</v>
      </c>
      <c r="G121" s="24">
        <v>200</v>
      </c>
      <c r="I121" s="24">
        <v>0</v>
      </c>
      <c r="K121" s="24">
        <v>745</v>
      </c>
      <c r="M121" s="24">
        <v>0</v>
      </c>
      <c r="O121" s="24">
        <v>12793.28</v>
      </c>
      <c r="Q121" s="24">
        <v>31628.83</v>
      </c>
      <c r="S121" s="24">
        <v>15000</v>
      </c>
      <c r="U121" s="24">
        <v>0</v>
      </c>
      <c r="W121" s="24">
        <v>0</v>
      </c>
      <c r="Y121" s="24">
        <v>0</v>
      </c>
      <c r="AA121" s="24">
        <v>0</v>
      </c>
      <c r="AC121" s="24">
        <v>0</v>
      </c>
      <c r="AE121" s="24">
        <f t="shared" si="3"/>
        <v>62913.279999999999</v>
      </c>
      <c r="AF121" s="24"/>
      <c r="AG121" s="24">
        <v>6407.37</v>
      </c>
      <c r="AH121" s="24"/>
      <c r="AI121" s="24">
        <v>62758.18</v>
      </c>
      <c r="AJ121" s="24"/>
      <c r="AK121" s="24">
        <v>69165.55</v>
      </c>
      <c r="AL121" s="24">
        <f>+'Gov Rev'!AI121-'Gov Exp'!AE121+'Gov Exp'!AI121-'Gov Exp'!AK121</f>
        <v>0</v>
      </c>
      <c r="AM121" s="15" t="str">
        <f>'Gov Rev'!A121</f>
        <v>Cecil</v>
      </c>
      <c r="AN121" s="15" t="str">
        <f t="shared" si="4"/>
        <v>Cecil</v>
      </c>
      <c r="AO121" s="15" t="b">
        <f t="shared" si="5"/>
        <v>1</v>
      </c>
    </row>
    <row r="122" spans="1:41" s="31" customFormat="1" ht="12" customHeight="1" x14ac:dyDescent="0.2">
      <c r="A122" s="15" t="s">
        <v>370</v>
      </c>
      <c r="B122" s="15"/>
      <c r="C122" s="15" t="s">
        <v>371</v>
      </c>
      <c r="D122" s="15"/>
      <c r="E122" s="24">
        <v>379605</v>
      </c>
      <c r="F122" s="24"/>
      <c r="G122" s="24">
        <v>2366</v>
      </c>
      <c r="H122" s="24"/>
      <c r="I122" s="24">
        <v>23402</v>
      </c>
      <c r="J122" s="24"/>
      <c r="K122" s="24">
        <v>7238</v>
      </c>
      <c r="L122" s="24"/>
      <c r="M122" s="24">
        <v>0</v>
      </c>
      <c r="N122" s="24"/>
      <c r="O122" s="24">
        <v>328689</v>
      </c>
      <c r="P122" s="24"/>
      <c r="Q122" s="24">
        <f>333727+3</f>
        <v>333730</v>
      </c>
      <c r="R122" s="24"/>
      <c r="S122" s="24">
        <v>22990</v>
      </c>
      <c r="T122" s="24"/>
      <c r="U122" s="24">
        <v>0</v>
      </c>
      <c r="V122" s="24"/>
      <c r="W122" s="24">
        <v>0</v>
      </c>
      <c r="X122" s="24"/>
      <c r="Y122" s="24">
        <v>361400</v>
      </c>
      <c r="Z122" s="24"/>
      <c r="AA122" s="24">
        <v>0</v>
      </c>
      <c r="AB122" s="24"/>
      <c r="AC122" s="24">
        <v>0</v>
      </c>
      <c r="AD122" s="24"/>
      <c r="AE122" s="24">
        <f t="shared" si="3"/>
        <v>1459420</v>
      </c>
      <c r="AF122" s="24"/>
      <c r="AG122" s="24">
        <v>7701</v>
      </c>
      <c r="AH122" s="24"/>
      <c r="AI122" s="24">
        <v>490288</v>
      </c>
      <c r="AJ122" s="24"/>
      <c r="AK122" s="24">
        <v>497987</v>
      </c>
      <c r="AL122" s="24">
        <f>+'Gov Rev'!AI122-'Gov Exp'!AE122+'Gov Exp'!AI122-'Gov Exp'!AK122</f>
        <v>0</v>
      </c>
      <c r="AM122" s="15" t="str">
        <f>'Gov Rev'!A122</f>
        <v>Cedarville</v>
      </c>
      <c r="AN122" s="15" t="str">
        <f t="shared" si="4"/>
        <v>Cedarville</v>
      </c>
      <c r="AO122" s="15" t="b">
        <f t="shared" si="5"/>
        <v>1</v>
      </c>
    </row>
    <row r="123" spans="1:41" ht="12" customHeight="1" x14ac:dyDescent="0.2">
      <c r="A123" s="1" t="s">
        <v>121</v>
      </c>
      <c r="B123" s="1"/>
      <c r="C123" s="1" t="s">
        <v>771</v>
      </c>
      <c r="E123" s="24">
        <v>218345.9</v>
      </c>
      <c r="G123" s="24">
        <v>1977.53</v>
      </c>
      <c r="I123" s="24">
        <v>0</v>
      </c>
      <c r="K123" s="24">
        <v>19552.91</v>
      </c>
      <c r="M123" s="24">
        <v>0</v>
      </c>
      <c r="O123" s="24">
        <v>142405.98000000001</v>
      </c>
      <c r="Q123" s="24">
        <v>219397.26</v>
      </c>
      <c r="S123" s="24">
        <v>0</v>
      </c>
      <c r="U123" s="24">
        <v>12018.54</v>
      </c>
      <c r="W123" s="24">
        <v>1364.65</v>
      </c>
      <c r="Y123" s="24">
        <v>696.62</v>
      </c>
      <c r="AA123" s="24">
        <v>12000</v>
      </c>
      <c r="AC123" s="24">
        <v>0</v>
      </c>
      <c r="AE123" s="24">
        <f t="shared" si="3"/>
        <v>627759.39000000013</v>
      </c>
      <c r="AF123" s="24"/>
      <c r="AG123" s="24">
        <v>9840.5300000000007</v>
      </c>
      <c r="AH123" s="24"/>
      <c r="AI123" s="24">
        <v>437086.98</v>
      </c>
      <c r="AJ123" s="24"/>
      <c r="AK123" s="24">
        <v>446927.51</v>
      </c>
      <c r="AL123" s="24">
        <f>+'Gov Rev'!AI123-'Gov Exp'!AE123+'Gov Exp'!AI123-'Gov Exp'!AK123</f>
        <v>0</v>
      </c>
      <c r="AM123" s="15" t="str">
        <f>'Gov Rev'!A123</f>
        <v>Centerburg</v>
      </c>
      <c r="AN123" s="15" t="str">
        <f t="shared" si="4"/>
        <v>Centerburg</v>
      </c>
      <c r="AO123" s="15" t="b">
        <f t="shared" si="5"/>
        <v>1</v>
      </c>
    </row>
    <row r="124" spans="1:41" ht="12" customHeight="1" x14ac:dyDescent="0.2">
      <c r="A124" s="1" t="s">
        <v>826</v>
      </c>
      <c r="B124" s="1"/>
      <c r="C124" s="1" t="s">
        <v>760</v>
      </c>
      <c r="E124" s="24">
        <v>11226.07</v>
      </c>
      <c r="G124" s="24">
        <v>0</v>
      </c>
      <c r="I124" s="24">
        <v>0</v>
      </c>
      <c r="K124" s="24">
        <v>0</v>
      </c>
      <c r="M124" s="24">
        <v>0</v>
      </c>
      <c r="O124" s="24">
        <v>128.69999999999999</v>
      </c>
      <c r="Q124" s="24">
        <v>44316.38</v>
      </c>
      <c r="S124" s="24">
        <v>0</v>
      </c>
      <c r="U124" s="24">
        <v>3761.8</v>
      </c>
      <c r="W124" s="24">
        <v>1652.24</v>
      </c>
      <c r="Y124" s="24">
        <v>2074</v>
      </c>
      <c r="AA124" s="24">
        <v>0</v>
      </c>
      <c r="AC124" s="24">
        <v>0</v>
      </c>
      <c r="AE124" s="24">
        <f t="shared" si="3"/>
        <v>63159.189999999995</v>
      </c>
      <c r="AF124" s="24"/>
      <c r="AG124" s="24">
        <v>5401.11</v>
      </c>
      <c r="AH124" s="24"/>
      <c r="AI124" s="24">
        <v>19000.86</v>
      </c>
      <c r="AJ124" s="24"/>
      <c r="AK124" s="24">
        <v>24401.97</v>
      </c>
      <c r="AL124" s="24">
        <f>+'Gov Rev'!AI124-'Gov Exp'!AE124+'Gov Exp'!AI124-'Gov Exp'!AK124</f>
        <v>0</v>
      </c>
      <c r="AM124" s="15" t="str">
        <f>'Gov Rev'!A124</f>
        <v>Centerville</v>
      </c>
      <c r="AN124" s="15" t="str">
        <f t="shared" si="4"/>
        <v>Centerville</v>
      </c>
      <c r="AO124" s="15" t="b">
        <f t="shared" si="5"/>
        <v>1</v>
      </c>
    </row>
    <row r="125" spans="1:41" ht="12" customHeight="1" x14ac:dyDescent="0.2">
      <c r="A125" s="15" t="s">
        <v>319</v>
      </c>
      <c r="C125" s="15" t="s">
        <v>316</v>
      </c>
      <c r="E125" s="24">
        <v>2637435</v>
      </c>
      <c r="G125" s="24">
        <v>438765</v>
      </c>
      <c r="I125" s="24">
        <v>86524</v>
      </c>
      <c r="K125" s="24">
        <v>227643</v>
      </c>
      <c r="M125" s="24">
        <v>473850</v>
      </c>
      <c r="O125" s="24">
        <v>859487</v>
      </c>
      <c r="Q125" s="24">
        <v>1081595</v>
      </c>
      <c r="S125" s="24">
        <v>610344</v>
      </c>
      <c r="U125" s="24">
        <v>537339</v>
      </c>
      <c r="W125" s="24">
        <v>80115</v>
      </c>
      <c r="Y125" s="24">
        <v>753653</v>
      </c>
      <c r="AA125" s="24">
        <v>95000</v>
      </c>
      <c r="AC125" s="24">
        <v>5330</v>
      </c>
      <c r="AE125" s="24">
        <f t="shared" si="3"/>
        <v>7887080</v>
      </c>
      <c r="AF125" s="24"/>
      <c r="AG125" s="24">
        <v>114602</v>
      </c>
      <c r="AH125" s="24"/>
      <c r="AI125" s="24">
        <v>3419926</v>
      </c>
      <c r="AJ125" s="24"/>
      <c r="AK125" s="24">
        <v>3534528</v>
      </c>
      <c r="AL125" s="24">
        <f>+'Gov Rev'!AI125-'Gov Exp'!AE125+'Gov Exp'!AI125-'Gov Exp'!AK125</f>
        <v>0</v>
      </c>
      <c r="AM125" s="15" t="str">
        <f>'Gov Rev'!A125</f>
        <v>Chagrin Falls</v>
      </c>
      <c r="AN125" s="15" t="str">
        <f t="shared" si="4"/>
        <v>Chagrin Falls</v>
      </c>
      <c r="AO125" s="15" t="b">
        <f t="shared" si="5"/>
        <v>1</v>
      </c>
    </row>
    <row r="126" spans="1:41" s="24" customFormat="1" ht="12" customHeight="1" x14ac:dyDescent="0.2">
      <c r="A126" s="15" t="s">
        <v>311</v>
      </c>
      <c r="B126" s="15"/>
      <c r="C126" s="15" t="s">
        <v>312</v>
      </c>
      <c r="D126" s="15"/>
      <c r="E126" s="24">
        <v>4856</v>
      </c>
      <c r="G126" s="24">
        <v>843</v>
      </c>
      <c r="I126" s="24">
        <v>0</v>
      </c>
      <c r="K126" s="24">
        <v>0</v>
      </c>
      <c r="M126" s="24">
        <v>0</v>
      </c>
      <c r="O126" s="24">
        <v>2860</v>
      </c>
      <c r="Q126" s="24">
        <v>11337</v>
      </c>
      <c r="S126" s="24">
        <v>0</v>
      </c>
      <c r="U126" s="24">
        <v>0</v>
      </c>
      <c r="W126" s="24">
        <v>0</v>
      </c>
      <c r="Y126" s="24">
        <v>0</v>
      </c>
      <c r="AA126" s="24">
        <v>0</v>
      </c>
      <c r="AC126" s="24">
        <v>0</v>
      </c>
      <c r="AE126" s="24">
        <f t="shared" si="3"/>
        <v>19896</v>
      </c>
      <c r="AG126" s="24">
        <f>-2287+452</f>
        <v>-1835</v>
      </c>
      <c r="AI126" s="24">
        <f>26196+45961</f>
        <v>72157</v>
      </c>
      <c r="AK126" s="24">
        <f>23909+46413</f>
        <v>70322</v>
      </c>
      <c r="AL126" s="24">
        <f>+'Gov Rev'!AI126-'Gov Exp'!AE126+'Gov Exp'!AI126-'Gov Exp'!AK126</f>
        <v>0</v>
      </c>
      <c r="AM126" s="15" t="str">
        <f>'Gov Rev'!A126</f>
        <v>Chatfield</v>
      </c>
      <c r="AN126" s="15" t="str">
        <f t="shared" si="4"/>
        <v>Chatfield</v>
      </c>
      <c r="AO126" s="15" t="b">
        <f t="shared" si="5"/>
        <v>1</v>
      </c>
    </row>
    <row r="127" spans="1:41" ht="12" customHeight="1" x14ac:dyDescent="0.2">
      <c r="A127" s="1" t="s">
        <v>273</v>
      </c>
      <c r="B127" s="1"/>
      <c r="C127" s="1" t="s">
        <v>271</v>
      </c>
      <c r="D127" s="24"/>
      <c r="E127" s="24">
        <v>10109.64</v>
      </c>
      <c r="G127" s="24">
        <v>0</v>
      </c>
      <c r="I127" s="24">
        <v>0</v>
      </c>
      <c r="K127" s="24">
        <v>0</v>
      </c>
      <c r="M127" s="24">
        <v>0</v>
      </c>
      <c r="O127" s="24">
        <v>47741.19</v>
      </c>
      <c r="Q127" s="24">
        <v>77608.100000000006</v>
      </c>
      <c r="S127" s="24">
        <v>0</v>
      </c>
      <c r="U127" s="24">
        <v>0</v>
      </c>
      <c r="W127" s="24">
        <v>0</v>
      </c>
      <c r="Y127" s="24">
        <v>0</v>
      </c>
      <c r="AA127" s="24">
        <v>0</v>
      </c>
      <c r="AC127" s="24">
        <v>0</v>
      </c>
      <c r="AE127" s="24">
        <f t="shared" si="3"/>
        <v>135458.93</v>
      </c>
      <c r="AF127" s="24"/>
      <c r="AG127" s="24">
        <v>-4499.51</v>
      </c>
      <c r="AH127" s="24"/>
      <c r="AI127" s="24">
        <v>50780.23</v>
      </c>
      <c r="AJ127" s="24"/>
      <c r="AK127" s="24">
        <v>46280.72</v>
      </c>
      <c r="AL127" s="24">
        <f>+'Gov Rev'!AI127-'Gov Exp'!AE127+'Gov Exp'!AI127-'Gov Exp'!AK127</f>
        <v>0</v>
      </c>
      <c r="AM127" s="15" t="str">
        <f>'Gov Rev'!A127</f>
        <v>Chauncey</v>
      </c>
      <c r="AN127" s="15" t="str">
        <f t="shared" si="4"/>
        <v>Chauncey</v>
      </c>
      <c r="AO127" s="15" t="b">
        <f t="shared" si="5"/>
        <v>1</v>
      </c>
    </row>
    <row r="128" spans="1:41" ht="12" customHeight="1" x14ac:dyDescent="0.2">
      <c r="A128" s="15" t="s">
        <v>660</v>
      </c>
      <c r="C128" s="15" t="s">
        <v>661</v>
      </c>
      <c r="D128" s="28"/>
      <c r="E128" s="24">
        <v>1704</v>
      </c>
      <c r="G128" s="24">
        <v>0</v>
      </c>
      <c r="I128" s="24">
        <v>0</v>
      </c>
      <c r="K128" s="24">
        <v>0</v>
      </c>
      <c r="M128" s="24">
        <f>1058+2382</f>
        <v>3440</v>
      </c>
      <c r="O128" s="24">
        <v>0</v>
      </c>
      <c r="Q128" s="24">
        <v>11952</v>
      </c>
      <c r="S128" s="24">
        <v>0</v>
      </c>
      <c r="U128" s="24">
        <v>0</v>
      </c>
      <c r="W128" s="24">
        <v>0</v>
      </c>
      <c r="Y128" s="24">
        <v>0</v>
      </c>
      <c r="AA128" s="24">
        <v>0</v>
      </c>
      <c r="AC128" s="24">
        <v>0</v>
      </c>
      <c r="AE128" s="24">
        <f t="shared" si="3"/>
        <v>17096</v>
      </c>
      <c r="AF128" s="24"/>
      <c r="AG128" s="24">
        <f>-3414+9775+742</f>
        <v>7103</v>
      </c>
      <c r="AH128" s="24"/>
      <c r="AI128" s="24">
        <f>5660+10280+4108</f>
        <v>20048</v>
      </c>
      <c r="AJ128" s="24"/>
      <c r="AK128" s="24">
        <f>2246+17055+4850</f>
        <v>24151</v>
      </c>
      <c r="AL128" s="24">
        <f>+'Gov Rev'!AI128-'Gov Exp'!AE128+'Gov Exp'!AI128-'Gov Exp'!AK128</f>
        <v>0</v>
      </c>
      <c r="AM128" s="15" t="str">
        <f>'Gov Rev'!A128</f>
        <v>Cherry Fork</v>
      </c>
      <c r="AN128" s="15" t="str">
        <f t="shared" si="4"/>
        <v>Cherry Fork</v>
      </c>
      <c r="AO128" s="15" t="b">
        <f t="shared" si="5"/>
        <v>1</v>
      </c>
    </row>
    <row r="129" spans="1:41" ht="12" customHeight="1" x14ac:dyDescent="0.2">
      <c r="A129" s="1" t="s">
        <v>436</v>
      </c>
      <c r="B129" s="1"/>
      <c r="C129" s="1" t="s">
        <v>437</v>
      </c>
      <c r="E129" s="24">
        <v>141213.26</v>
      </c>
      <c r="G129" s="24">
        <v>0</v>
      </c>
      <c r="I129" s="24">
        <v>908.86</v>
      </c>
      <c r="K129" s="24">
        <v>0</v>
      </c>
      <c r="M129" s="24">
        <v>0</v>
      </c>
      <c r="O129" s="24">
        <v>64366.37</v>
      </c>
      <c r="Q129" s="24">
        <v>102435.85</v>
      </c>
      <c r="S129" s="24">
        <v>4098.4799999999996</v>
      </c>
      <c r="U129" s="24">
        <v>9961.76</v>
      </c>
      <c r="W129" s="24">
        <v>3606.64</v>
      </c>
      <c r="Y129" s="24">
        <v>0</v>
      </c>
      <c r="AA129" s="24">
        <v>0</v>
      </c>
      <c r="AC129" s="24">
        <v>136408.56</v>
      </c>
      <c r="AE129" s="24">
        <f t="shared" si="3"/>
        <v>462999.77999999997</v>
      </c>
      <c r="AF129" s="24"/>
      <c r="AG129" s="24">
        <v>-22148.92</v>
      </c>
      <c r="AH129" s="24"/>
      <c r="AI129" s="24">
        <v>113869.27</v>
      </c>
      <c r="AJ129" s="24"/>
      <c r="AK129" s="24">
        <v>91720.35</v>
      </c>
      <c r="AL129" s="24">
        <f>+'Gov Rev'!AI129-'Gov Exp'!AE129+'Gov Exp'!AI129-'Gov Exp'!AK129</f>
        <v>0</v>
      </c>
      <c r="AM129" s="15" t="str">
        <f>'Gov Rev'!A129</f>
        <v>Chesapeake</v>
      </c>
      <c r="AN129" s="15" t="str">
        <f t="shared" si="4"/>
        <v>Chesapeake</v>
      </c>
      <c r="AO129" s="15" t="b">
        <f t="shared" si="5"/>
        <v>1</v>
      </c>
    </row>
    <row r="130" spans="1:41" ht="12" customHeight="1" x14ac:dyDescent="0.2">
      <c r="A130" s="1" t="s">
        <v>79</v>
      </c>
      <c r="B130" s="1"/>
      <c r="C130" s="1" t="s">
        <v>760</v>
      </c>
      <c r="E130" s="24">
        <v>8981.5</v>
      </c>
      <c r="G130" s="24">
        <v>0</v>
      </c>
      <c r="I130" s="24">
        <v>0</v>
      </c>
      <c r="K130" s="24">
        <v>500</v>
      </c>
      <c r="M130" s="24">
        <v>0</v>
      </c>
      <c r="O130" s="24">
        <v>8553.65</v>
      </c>
      <c r="Q130" s="24">
        <v>60485.17</v>
      </c>
      <c r="S130" s="24">
        <v>0</v>
      </c>
      <c r="U130" s="24">
        <v>0</v>
      </c>
      <c r="W130" s="24">
        <v>0</v>
      </c>
      <c r="Y130" s="24">
        <v>0</v>
      </c>
      <c r="AA130" s="24">
        <v>0</v>
      </c>
      <c r="AC130" s="24">
        <v>0</v>
      </c>
      <c r="AE130" s="24">
        <f t="shared" si="3"/>
        <v>78520.320000000007</v>
      </c>
      <c r="AF130" s="24"/>
      <c r="AG130" s="24">
        <v>-4886.6899999999996</v>
      </c>
      <c r="AH130" s="24"/>
      <c r="AI130" s="24">
        <v>115311.15</v>
      </c>
      <c r="AJ130" s="24"/>
      <c r="AK130" s="24">
        <v>110424.46</v>
      </c>
      <c r="AL130" s="24">
        <f>+'Gov Rev'!AI130-'Gov Exp'!AE130+'Gov Exp'!AI130-'Gov Exp'!AK130</f>
        <v>0</v>
      </c>
      <c r="AM130" s="15" t="str">
        <f>'Gov Rev'!A130</f>
        <v>Cheshire</v>
      </c>
      <c r="AN130" s="15" t="str">
        <f t="shared" si="4"/>
        <v>Cheshire</v>
      </c>
      <c r="AO130" s="15" t="b">
        <f t="shared" si="5"/>
        <v>1</v>
      </c>
    </row>
    <row r="131" spans="1:41" ht="12" customHeight="1" x14ac:dyDescent="0.2">
      <c r="A131" s="15" t="s">
        <v>881</v>
      </c>
      <c r="C131" s="15" t="s">
        <v>882</v>
      </c>
      <c r="D131" s="28"/>
      <c r="E131" s="24">
        <v>3090</v>
      </c>
      <c r="G131" s="24">
        <v>5918</v>
      </c>
      <c r="I131" s="24">
        <v>6075</v>
      </c>
      <c r="K131" s="24">
        <v>0</v>
      </c>
      <c r="M131" s="24">
        <v>33522</v>
      </c>
      <c r="O131" s="24">
        <v>0</v>
      </c>
      <c r="Q131" s="24">
        <v>29890</v>
      </c>
      <c r="S131" s="24">
        <v>0</v>
      </c>
      <c r="U131" s="24">
        <v>0</v>
      </c>
      <c r="W131" s="24">
        <v>650</v>
      </c>
      <c r="Y131" s="24">
        <v>0</v>
      </c>
      <c r="AA131" s="24">
        <v>0</v>
      </c>
      <c r="AC131" s="24">
        <v>0</v>
      </c>
      <c r="AE131" s="24">
        <f t="shared" si="3"/>
        <v>79145</v>
      </c>
      <c r="AF131" s="24"/>
      <c r="AG131" s="24">
        <v>-9240</v>
      </c>
      <c r="AH131" s="24"/>
      <c r="AI131" s="24" t="s">
        <v>956</v>
      </c>
      <c r="AJ131" s="24"/>
      <c r="AK131" s="24" t="s">
        <v>956</v>
      </c>
      <c r="AL131" s="24" t="e">
        <f>+'Gov Rev'!AI131-'Gov Exp'!AE131+'Gov Exp'!AI131-'Gov Exp'!AK131</f>
        <v>#VALUE!</v>
      </c>
      <c r="AM131" s="15" t="str">
        <f>'Gov Rev'!A131</f>
        <v>Chesterhill</v>
      </c>
      <c r="AN131" s="15" t="str">
        <f t="shared" si="4"/>
        <v>Chesterhill</v>
      </c>
      <c r="AO131" s="15" t="b">
        <f t="shared" si="5"/>
        <v>1</v>
      </c>
    </row>
    <row r="132" spans="1:41" ht="12" customHeight="1" x14ac:dyDescent="0.2">
      <c r="A132" s="1" t="s">
        <v>171</v>
      </c>
      <c r="B132" s="1"/>
      <c r="C132" s="1" t="s">
        <v>788</v>
      </c>
      <c r="D132" s="28"/>
      <c r="E132" s="24">
        <v>7651.61</v>
      </c>
      <c r="G132" s="24">
        <v>496.13</v>
      </c>
      <c r="I132" s="24">
        <v>334.17</v>
      </c>
      <c r="K132" s="24">
        <v>4045</v>
      </c>
      <c r="M132" s="24">
        <v>650</v>
      </c>
      <c r="O132" s="24">
        <v>5018.3999999999996</v>
      </c>
      <c r="Q132" s="24">
        <v>26852.44</v>
      </c>
      <c r="S132" s="24">
        <v>2472.4</v>
      </c>
      <c r="U132" s="24">
        <v>0</v>
      </c>
      <c r="W132" s="24">
        <v>0</v>
      </c>
      <c r="Y132" s="24">
        <v>4400</v>
      </c>
      <c r="AA132" s="24">
        <v>0</v>
      </c>
      <c r="AC132" s="24">
        <v>0</v>
      </c>
      <c r="AE132" s="24">
        <f t="shared" si="3"/>
        <v>51920.15</v>
      </c>
      <c r="AF132" s="24"/>
      <c r="AG132" s="24">
        <v>7746.42</v>
      </c>
      <c r="AH132" s="24"/>
      <c r="AI132" s="24">
        <v>41902.46</v>
      </c>
      <c r="AJ132" s="24"/>
      <c r="AK132" s="24">
        <v>49648.88</v>
      </c>
      <c r="AL132" s="24">
        <f>+'Gov Rev'!AI132-'Gov Exp'!AE132+'Gov Exp'!AI132-'Gov Exp'!AK132</f>
        <v>0</v>
      </c>
      <c r="AM132" s="15" t="str">
        <f>'Gov Rev'!A132</f>
        <v>Chesterville</v>
      </c>
      <c r="AN132" s="15" t="str">
        <f t="shared" si="4"/>
        <v>Chesterville</v>
      </c>
      <c r="AO132" s="15" t="b">
        <f t="shared" si="5"/>
        <v>1</v>
      </c>
    </row>
    <row r="133" spans="1:41" ht="12" customHeight="1" x14ac:dyDescent="0.2">
      <c r="A133" s="1" t="s">
        <v>838</v>
      </c>
      <c r="B133" s="1"/>
      <c r="C133" s="1" t="s">
        <v>783</v>
      </c>
      <c r="E133" s="24">
        <v>7120.82</v>
      </c>
      <c r="G133" s="24">
        <v>2776.96</v>
      </c>
      <c r="I133" s="24">
        <v>1500</v>
      </c>
      <c r="K133" s="24">
        <v>409</v>
      </c>
      <c r="M133" s="24">
        <v>3250.52</v>
      </c>
      <c r="O133" s="24">
        <v>80480.539999999994</v>
      </c>
      <c r="Q133" s="24">
        <v>38922.03</v>
      </c>
      <c r="S133" s="24">
        <v>26755.8</v>
      </c>
      <c r="U133" s="24">
        <v>6606.13</v>
      </c>
      <c r="W133" s="24">
        <v>0</v>
      </c>
      <c r="Y133" s="24">
        <v>0</v>
      </c>
      <c r="AA133" s="24">
        <v>0</v>
      </c>
      <c r="AC133" s="24">
        <v>0</v>
      </c>
      <c r="AE133" s="24">
        <f t="shared" si="3"/>
        <v>167821.8</v>
      </c>
      <c r="AF133" s="24"/>
      <c r="AG133" s="24">
        <v>35967.86</v>
      </c>
      <c r="AH133" s="24"/>
      <c r="AI133" s="24">
        <v>106764.19</v>
      </c>
      <c r="AJ133" s="24"/>
      <c r="AK133" s="24">
        <v>142732.04999999999</v>
      </c>
      <c r="AL133" s="24">
        <f>+'Gov Rev'!AI133-'Gov Exp'!AE133+'Gov Exp'!AI133-'Gov Exp'!AK133</f>
        <v>0</v>
      </c>
      <c r="AM133" s="15" t="str">
        <f>'Gov Rev'!A133</f>
        <v>Chickasaw</v>
      </c>
      <c r="AN133" s="15" t="str">
        <f t="shared" si="4"/>
        <v>Chickasaw</v>
      </c>
      <c r="AO133" s="15" t="b">
        <f t="shared" si="5"/>
        <v>1</v>
      </c>
    </row>
    <row r="134" spans="1:41" ht="12" customHeight="1" x14ac:dyDescent="0.2">
      <c r="A134" s="15" t="s">
        <v>883</v>
      </c>
      <c r="C134" s="15" t="s">
        <v>295</v>
      </c>
      <c r="D134" s="28"/>
      <c r="E134" s="24">
        <v>5366</v>
      </c>
      <c r="G134" s="24">
        <v>0</v>
      </c>
      <c r="I134" s="24">
        <v>1770</v>
      </c>
      <c r="K134" s="24">
        <v>0</v>
      </c>
      <c r="M134" s="24">
        <v>3633</v>
      </c>
      <c r="O134" s="24">
        <v>0</v>
      </c>
      <c r="Q134" s="24">
        <f>12163+3200</f>
        <v>15363</v>
      </c>
      <c r="S134" s="24">
        <v>0</v>
      </c>
      <c r="U134" s="24">
        <v>0</v>
      </c>
      <c r="W134" s="24">
        <v>0</v>
      </c>
      <c r="Y134" s="24">
        <v>0</v>
      </c>
      <c r="AA134" s="24">
        <v>0</v>
      </c>
      <c r="AC134" s="24">
        <v>0</v>
      </c>
      <c r="AE134" s="24">
        <f t="shared" si="3"/>
        <v>26132</v>
      </c>
      <c r="AF134" s="24"/>
      <c r="AG134" s="24">
        <f>-3963+276</f>
        <v>-3687</v>
      </c>
      <c r="AH134" s="24"/>
      <c r="AI134" s="24">
        <f>AK134+3687</f>
        <v>34392</v>
      </c>
      <c r="AJ134" s="24"/>
      <c r="AK134" s="24">
        <f>7740+22965</f>
        <v>30705</v>
      </c>
      <c r="AL134" s="24">
        <f>+'Gov Rev'!AI134-'Gov Exp'!AE134+'Gov Exp'!AI134-'Gov Exp'!AK134</f>
        <v>0</v>
      </c>
      <c r="AM134" s="15" t="str">
        <f>'Gov Rev'!A134</f>
        <v>Chilo</v>
      </c>
      <c r="AN134" s="15" t="str">
        <f t="shared" si="4"/>
        <v>Chilo</v>
      </c>
      <c r="AO134" s="15" t="b">
        <f t="shared" si="5"/>
        <v>1</v>
      </c>
    </row>
    <row r="135" spans="1:41" ht="12" customHeight="1" x14ac:dyDescent="0.2">
      <c r="A135" s="1" t="s">
        <v>152</v>
      </c>
      <c r="B135" s="1"/>
      <c r="C135" s="1" t="s">
        <v>781</v>
      </c>
      <c r="E135" s="24">
        <v>46137.279999999999</v>
      </c>
      <c r="G135" s="24">
        <v>0</v>
      </c>
      <c r="I135" s="24">
        <v>29618.71</v>
      </c>
      <c r="K135" s="24">
        <v>20797.080000000002</v>
      </c>
      <c r="M135" s="24">
        <v>0</v>
      </c>
      <c r="O135" s="24">
        <v>60611.23</v>
      </c>
      <c r="Q135" s="24">
        <v>66377.98</v>
      </c>
      <c r="S135" s="24">
        <v>0</v>
      </c>
      <c r="U135" s="24">
        <v>0</v>
      </c>
      <c r="W135" s="24">
        <v>0</v>
      </c>
      <c r="Y135" s="24">
        <v>0</v>
      </c>
      <c r="AA135" s="24">
        <v>0</v>
      </c>
      <c r="AC135" s="24">
        <v>0</v>
      </c>
      <c r="AE135" s="24">
        <f t="shared" si="3"/>
        <v>223542.27999999997</v>
      </c>
      <c r="AF135" s="24"/>
      <c r="AG135" s="24">
        <v>18104.87</v>
      </c>
      <c r="AH135" s="24"/>
      <c r="AI135" s="24">
        <v>182538.86</v>
      </c>
      <c r="AJ135" s="24"/>
      <c r="AK135" s="24">
        <v>200643.73</v>
      </c>
      <c r="AL135" s="24">
        <f>+'Gov Rev'!AI135-'Gov Exp'!AE135+'Gov Exp'!AI135-'Gov Exp'!AK135</f>
        <v>0</v>
      </c>
      <c r="AM135" s="15" t="str">
        <f>'Gov Rev'!A135</f>
        <v>Chippewa Lake</v>
      </c>
      <c r="AN135" s="15" t="str">
        <f t="shared" si="4"/>
        <v>Chippewa Lake</v>
      </c>
      <c r="AO135" s="15" t="b">
        <f t="shared" si="5"/>
        <v>1</v>
      </c>
    </row>
    <row r="136" spans="1:41" s="24" customFormat="1" ht="12" customHeight="1" x14ac:dyDescent="0.2">
      <c r="A136" s="1" t="s">
        <v>32</v>
      </c>
      <c r="B136" s="1"/>
      <c r="C136" s="1" t="s">
        <v>745</v>
      </c>
      <c r="D136" s="15"/>
      <c r="E136" s="24">
        <v>42857.11</v>
      </c>
      <c r="G136" s="24">
        <v>0</v>
      </c>
      <c r="I136" s="24">
        <v>12201.88</v>
      </c>
      <c r="K136" s="24">
        <v>0</v>
      </c>
      <c r="M136" s="24">
        <v>0</v>
      </c>
      <c r="O136" s="24">
        <v>69608.429999999993</v>
      </c>
      <c r="Q136" s="24">
        <v>30122.78</v>
      </c>
      <c r="S136" s="24">
        <v>32500</v>
      </c>
      <c r="U136" s="24">
        <v>0</v>
      </c>
      <c r="W136" s="24">
        <v>0</v>
      </c>
      <c r="Y136" s="24">
        <v>0</v>
      </c>
      <c r="AA136" s="24">
        <v>0</v>
      </c>
      <c r="AC136" s="24">
        <v>1673.83</v>
      </c>
      <c r="AE136" s="24">
        <f t="shared" si="3"/>
        <v>188964.02999999997</v>
      </c>
      <c r="AG136" s="24">
        <v>-39456.29</v>
      </c>
      <c r="AI136" s="24">
        <v>256452.44</v>
      </c>
      <c r="AK136" s="24">
        <v>216996.15</v>
      </c>
      <c r="AL136" s="24">
        <f>+'Gov Rev'!AI136-'Gov Exp'!AE136+'Gov Exp'!AI136-'Gov Exp'!AK136</f>
        <v>0</v>
      </c>
      <c r="AM136" s="15" t="str">
        <f>'Gov Rev'!A136</f>
        <v>Christiansburg</v>
      </c>
      <c r="AN136" s="15" t="str">
        <f t="shared" si="4"/>
        <v>Christiansburg</v>
      </c>
      <c r="AO136" s="15" t="b">
        <f t="shared" si="5"/>
        <v>1</v>
      </c>
    </row>
    <row r="137" spans="1:41" ht="12" customHeight="1" x14ac:dyDescent="0.2">
      <c r="A137" s="1" t="s">
        <v>211</v>
      </c>
      <c r="B137" s="1"/>
      <c r="C137" s="1" t="s">
        <v>799</v>
      </c>
      <c r="D137" s="28"/>
      <c r="E137" s="24">
        <v>4734</v>
      </c>
      <c r="G137" s="24">
        <v>0</v>
      </c>
      <c r="I137" s="24">
        <v>3657.73</v>
      </c>
      <c r="K137" s="24">
        <v>0</v>
      </c>
      <c r="M137" s="24">
        <v>1300.3399999999999</v>
      </c>
      <c r="O137" s="24">
        <v>19425.62</v>
      </c>
      <c r="Q137" s="24">
        <v>49401.94</v>
      </c>
      <c r="S137" s="24">
        <v>1517.22</v>
      </c>
      <c r="U137" s="24">
        <v>0</v>
      </c>
      <c r="W137" s="24">
        <v>0</v>
      </c>
      <c r="Y137" s="24">
        <v>0</v>
      </c>
      <c r="AA137" s="24">
        <v>0</v>
      </c>
      <c r="AC137" s="24">
        <v>45.25</v>
      </c>
      <c r="AE137" s="24">
        <f t="shared" si="3"/>
        <v>80082.100000000006</v>
      </c>
      <c r="AF137" s="24"/>
      <c r="AG137" s="24">
        <v>-12113.74</v>
      </c>
      <c r="AH137" s="24"/>
      <c r="AI137" s="24">
        <v>116584.04</v>
      </c>
      <c r="AJ137" s="24"/>
      <c r="AK137" s="24">
        <v>104470.3</v>
      </c>
      <c r="AL137" s="24">
        <f>+'Gov Rev'!AI137-'Gov Exp'!AE137+'Gov Exp'!AI137-'Gov Exp'!AK137</f>
        <v>0</v>
      </c>
      <c r="AM137" s="15" t="str">
        <f>'Gov Rev'!A137</f>
        <v>Clarksburg</v>
      </c>
      <c r="AN137" s="15" t="str">
        <f t="shared" si="4"/>
        <v>Clarksburg</v>
      </c>
      <c r="AO137" s="15" t="b">
        <f t="shared" si="5"/>
        <v>1</v>
      </c>
    </row>
    <row r="138" spans="1:41" s="31" customFormat="1" ht="12" hidden="1" customHeight="1" x14ac:dyDescent="0.2">
      <c r="A138" s="1" t="s">
        <v>300</v>
      </c>
      <c r="B138" s="1"/>
      <c r="C138" s="1" t="s">
        <v>299</v>
      </c>
      <c r="D138" s="15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>
        <f t="shared" si="3"/>
        <v>0</v>
      </c>
      <c r="AF138" s="24"/>
      <c r="AG138" s="24"/>
      <c r="AH138" s="24"/>
      <c r="AI138" s="24"/>
      <c r="AJ138" s="24"/>
      <c r="AK138" s="24"/>
      <c r="AL138" s="24">
        <f>+'Gov Rev'!AI138-'Gov Exp'!AE138+'Gov Exp'!AI138-'Gov Exp'!AK138</f>
        <v>0</v>
      </c>
      <c r="AM138" s="15" t="str">
        <f>'Gov Rev'!A138</f>
        <v>Clarksville</v>
      </c>
      <c r="AN138" s="15" t="str">
        <f t="shared" si="4"/>
        <v>Clarksville</v>
      </c>
      <c r="AO138" s="15" t="b">
        <f t="shared" si="5"/>
        <v>1</v>
      </c>
    </row>
    <row r="139" spans="1:41" s="31" customFormat="1" ht="12" customHeight="1" x14ac:dyDescent="0.2">
      <c r="A139" s="1" t="s">
        <v>179</v>
      </c>
      <c r="B139" s="1"/>
      <c r="C139" s="1" t="s">
        <v>791</v>
      </c>
      <c r="D139" s="15"/>
      <c r="E139" s="24">
        <v>12425.2</v>
      </c>
      <c r="F139" s="24"/>
      <c r="G139" s="24">
        <v>0</v>
      </c>
      <c r="H139" s="24"/>
      <c r="I139" s="24">
        <v>6478.47</v>
      </c>
      <c r="J139" s="24"/>
      <c r="K139" s="24">
        <v>54.97</v>
      </c>
      <c r="L139" s="24"/>
      <c r="M139" s="24">
        <v>22018.59</v>
      </c>
      <c r="N139" s="24"/>
      <c r="O139" s="24">
        <v>17482.46</v>
      </c>
      <c r="P139" s="24"/>
      <c r="Q139" s="24">
        <v>44277.85</v>
      </c>
      <c r="R139" s="24"/>
      <c r="S139" s="24">
        <v>0</v>
      </c>
      <c r="T139" s="24"/>
      <c r="U139" s="24">
        <v>15752.94</v>
      </c>
      <c r="V139" s="24"/>
      <c r="W139" s="24">
        <v>0</v>
      </c>
      <c r="X139" s="24"/>
      <c r="Y139" s="24">
        <v>65000</v>
      </c>
      <c r="Z139" s="24"/>
      <c r="AA139" s="24">
        <v>0</v>
      </c>
      <c r="AB139" s="24"/>
      <c r="AC139" s="24">
        <v>0</v>
      </c>
      <c r="AD139" s="24"/>
      <c r="AE139" s="24">
        <f t="shared" ref="AE139:AE205" si="6">SUM(E139:AC139)</f>
        <v>183490.48</v>
      </c>
      <c r="AF139" s="24"/>
      <c r="AG139" s="24">
        <v>9998.23</v>
      </c>
      <c r="AH139" s="24"/>
      <c r="AI139" s="24">
        <v>292890.33</v>
      </c>
      <c r="AJ139" s="24"/>
      <c r="AK139" s="24">
        <v>302888.56</v>
      </c>
      <c r="AL139" s="24">
        <f>+'Gov Rev'!AI139-'Gov Exp'!AE139+'Gov Exp'!AI139-'Gov Exp'!AK139</f>
        <v>0</v>
      </c>
      <c r="AM139" s="15" t="str">
        <f>'Gov Rev'!A139</f>
        <v>Clay Center</v>
      </c>
      <c r="AN139" s="15" t="str">
        <f t="shared" ref="AN139:AN205" si="7">A139</f>
        <v>Clay Center</v>
      </c>
      <c r="AO139" s="15" t="b">
        <f t="shared" ref="AO139:AO205" si="8">AM139=AN139</f>
        <v>1</v>
      </c>
    </row>
    <row r="140" spans="1:41" ht="12" customHeight="1" x14ac:dyDescent="0.2">
      <c r="A140" s="1" t="s">
        <v>839</v>
      </c>
      <c r="B140" s="1"/>
      <c r="C140" s="1" t="s">
        <v>763</v>
      </c>
      <c r="E140" s="24">
        <v>574796.51</v>
      </c>
      <c r="G140" s="24">
        <v>2952.14</v>
      </c>
      <c r="I140" s="24">
        <v>73283.56</v>
      </c>
      <c r="K140" s="24">
        <v>38475.910000000003</v>
      </c>
      <c r="M140" s="24">
        <v>0</v>
      </c>
      <c r="O140" s="24">
        <v>311551.21000000002</v>
      </c>
      <c r="Q140" s="24">
        <v>323341.90999999997</v>
      </c>
      <c r="S140" s="24">
        <v>842036.53</v>
      </c>
      <c r="U140" s="24">
        <v>42367.09</v>
      </c>
      <c r="W140" s="24">
        <v>12364.24</v>
      </c>
      <c r="Y140" s="24">
        <v>4000</v>
      </c>
      <c r="AA140" s="24">
        <v>0</v>
      </c>
      <c r="AC140" s="24">
        <v>0</v>
      </c>
      <c r="AE140" s="24">
        <f t="shared" si="6"/>
        <v>2225169.1</v>
      </c>
      <c r="AF140" s="24"/>
      <c r="AG140" s="24">
        <v>-241721.60000000001</v>
      </c>
      <c r="AH140" s="24"/>
      <c r="AI140" s="24">
        <v>708886.36</v>
      </c>
      <c r="AJ140" s="24"/>
      <c r="AK140" s="24">
        <v>467164.76</v>
      </c>
      <c r="AL140" s="24">
        <f>+'Gov Rev'!AI140-'Gov Exp'!AE140+'Gov Exp'!AI140-'Gov Exp'!AK140</f>
        <v>0</v>
      </c>
      <c r="AM140" s="15" t="str">
        <f>'Gov Rev'!A140</f>
        <v>Cleves</v>
      </c>
      <c r="AN140" s="15" t="str">
        <f t="shared" si="7"/>
        <v>Cleves</v>
      </c>
      <c r="AO140" s="15" t="b">
        <f t="shared" si="8"/>
        <v>1</v>
      </c>
    </row>
    <row r="141" spans="1:41" s="31" customFormat="1" ht="12" customHeight="1" x14ac:dyDescent="0.2">
      <c r="A141" s="15" t="s">
        <v>372</v>
      </c>
      <c r="B141" s="15"/>
      <c r="C141" s="15" t="s">
        <v>373</v>
      </c>
      <c r="D141" s="15"/>
      <c r="E141" s="24">
        <v>3949</v>
      </c>
      <c r="F141" s="24"/>
      <c r="G141" s="24">
        <v>171</v>
      </c>
      <c r="H141" s="24"/>
      <c r="I141" s="24">
        <v>20557</v>
      </c>
      <c r="J141" s="24"/>
      <c r="K141" s="24">
        <v>17</v>
      </c>
      <c r="L141" s="24"/>
      <c r="M141" s="24">
        <v>0</v>
      </c>
      <c r="N141" s="24"/>
      <c r="O141" s="24">
        <v>7446</v>
      </c>
      <c r="P141" s="24"/>
      <c r="Q141" s="24">
        <f>14791-1</f>
        <v>14790</v>
      </c>
      <c r="R141" s="24"/>
      <c r="S141" s="24">
        <v>12925</v>
      </c>
      <c r="T141" s="24"/>
      <c r="U141" s="24">
        <v>0</v>
      </c>
      <c r="V141" s="24"/>
      <c r="W141" s="24">
        <v>0</v>
      </c>
      <c r="X141" s="24"/>
      <c r="Y141" s="24">
        <v>0</v>
      </c>
      <c r="Z141" s="24"/>
      <c r="AA141" s="24">
        <v>0</v>
      </c>
      <c r="AB141" s="24"/>
      <c r="AC141" s="24">
        <v>0</v>
      </c>
      <c r="AD141" s="24"/>
      <c r="AE141" s="24">
        <f t="shared" si="6"/>
        <v>59855</v>
      </c>
      <c r="AF141" s="24"/>
      <c r="AG141" s="24">
        <v>9712</v>
      </c>
      <c r="AH141" s="24"/>
      <c r="AI141" s="24">
        <v>50480</v>
      </c>
      <c r="AJ141" s="24"/>
      <c r="AK141" s="24">
        <v>60192</v>
      </c>
      <c r="AL141" s="24">
        <f>+'Gov Rev'!AI141-'Gov Exp'!AE141+'Gov Exp'!AI141-'Gov Exp'!AK141</f>
        <v>0</v>
      </c>
      <c r="AM141" s="15" t="str">
        <f>'Gov Rev'!A141</f>
        <v>Clifton</v>
      </c>
      <c r="AN141" s="15" t="str">
        <f t="shared" si="7"/>
        <v>Clifton</v>
      </c>
      <c r="AO141" s="15" t="b">
        <f t="shared" si="8"/>
        <v>1</v>
      </c>
    </row>
    <row r="142" spans="1:41" ht="12" customHeight="1" x14ac:dyDescent="0.2">
      <c r="A142" s="1" t="s">
        <v>299</v>
      </c>
      <c r="B142" s="1"/>
      <c r="C142" s="1" t="s">
        <v>549</v>
      </c>
      <c r="E142" s="24">
        <v>323067.94</v>
      </c>
      <c r="G142" s="24">
        <v>7400.5</v>
      </c>
      <c r="I142" s="24">
        <v>1600</v>
      </c>
      <c r="K142" s="24">
        <v>9185.9</v>
      </c>
      <c r="M142" s="24">
        <v>0</v>
      </c>
      <c r="O142" s="24">
        <v>130387.92</v>
      </c>
      <c r="Q142" s="24">
        <v>68903.59</v>
      </c>
      <c r="S142" s="24">
        <v>15000</v>
      </c>
      <c r="U142" s="24">
        <v>0</v>
      </c>
      <c r="W142" s="24">
        <v>0</v>
      </c>
      <c r="Y142" s="24">
        <v>0</v>
      </c>
      <c r="AA142" s="24">
        <v>0</v>
      </c>
      <c r="AC142" s="24">
        <v>0</v>
      </c>
      <c r="AE142" s="24">
        <f t="shared" si="6"/>
        <v>555545.85</v>
      </c>
      <c r="AF142" s="24"/>
      <c r="AG142" s="24">
        <v>126526.05</v>
      </c>
      <c r="AH142" s="24"/>
      <c r="AI142" s="24">
        <v>215243.04</v>
      </c>
      <c r="AJ142" s="24"/>
      <c r="AK142" s="24">
        <v>341769.09</v>
      </c>
      <c r="AL142" s="24">
        <f>+'Gov Rev'!AI142-'Gov Exp'!AE142+'Gov Exp'!AI142-'Gov Exp'!AK142</f>
        <v>0</v>
      </c>
      <c r="AM142" s="15" t="str">
        <f>'Gov Rev'!A142</f>
        <v>Clinton</v>
      </c>
      <c r="AN142" s="15" t="str">
        <f t="shared" si="7"/>
        <v>Clinton</v>
      </c>
      <c r="AO142" s="15" t="b">
        <f t="shared" si="8"/>
        <v>1</v>
      </c>
    </row>
    <row r="143" spans="1:41" ht="12" customHeight="1" x14ac:dyDescent="0.2">
      <c r="A143" s="15" t="s">
        <v>662</v>
      </c>
      <c r="C143" s="15" t="s">
        <v>513</v>
      </c>
      <c r="E143" s="24">
        <v>667.88</v>
      </c>
      <c r="G143" s="24">
        <v>0</v>
      </c>
      <c r="I143" s="24">
        <v>191.22</v>
      </c>
      <c r="K143" s="24">
        <v>0</v>
      </c>
      <c r="M143" s="24">
        <v>3285.51</v>
      </c>
      <c r="O143" s="24">
        <v>256.22000000000003</v>
      </c>
      <c r="Q143" s="24">
        <v>49700.5</v>
      </c>
      <c r="S143" s="24">
        <v>0</v>
      </c>
      <c r="U143" s="24">
        <v>0</v>
      </c>
      <c r="W143" s="24">
        <v>0</v>
      </c>
      <c r="Y143" s="24">
        <v>0</v>
      </c>
      <c r="AA143" s="24">
        <v>0</v>
      </c>
      <c r="AC143" s="24">
        <v>0</v>
      </c>
      <c r="AE143" s="24">
        <f t="shared" si="6"/>
        <v>54101.33</v>
      </c>
      <c r="AF143" s="24"/>
      <c r="AG143" s="24">
        <v>-13811.21</v>
      </c>
      <c r="AH143" s="24"/>
      <c r="AI143" s="24">
        <v>176499.36</v>
      </c>
      <c r="AJ143" s="24"/>
      <c r="AK143" s="24">
        <v>162688.15</v>
      </c>
      <c r="AL143" s="24">
        <f>+'Gov Rev'!AI143-'Gov Exp'!AE143+'Gov Exp'!AI143-'Gov Exp'!AK143</f>
        <v>0</v>
      </c>
      <c r="AM143" s="15" t="str">
        <f>'Gov Rev'!A143</f>
        <v>Cloverdale</v>
      </c>
      <c r="AN143" s="15" t="str">
        <f t="shared" si="7"/>
        <v>Cloverdale</v>
      </c>
      <c r="AO143" s="15" t="b">
        <f t="shared" si="8"/>
        <v>1</v>
      </c>
    </row>
    <row r="144" spans="1:41" ht="12" customHeight="1" x14ac:dyDescent="0.2">
      <c r="A144" s="1" t="s">
        <v>125</v>
      </c>
      <c r="B144" s="1"/>
      <c r="C144" s="1" t="s">
        <v>773</v>
      </c>
      <c r="E144" s="24">
        <v>358773.77</v>
      </c>
      <c r="G144" s="24">
        <v>0</v>
      </c>
      <c r="I144" s="24">
        <v>10001.58</v>
      </c>
      <c r="K144" s="24">
        <v>445.1</v>
      </c>
      <c r="M144" s="24">
        <v>60054.77</v>
      </c>
      <c r="O144" s="24">
        <v>115770.76</v>
      </c>
      <c r="Q144" s="24">
        <v>232392.74</v>
      </c>
      <c r="S144" s="24">
        <v>83296.84</v>
      </c>
      <c r="U144" s="24">
        <v>0</v>
      </c>
      <c r="W144" s="24">
        <v>0</v>
      </c>
      <c r="Y144" s="24">
        <v>0</v>
      </c>
      <c r="AA144" s="24">
        <v>79903.240000000005</v>
      </c>
      <c r="AC144" s="24">
        <v>0</v>
      </c>
      <c r="AE144" s="24">
        <f t="shared" si="6"/>
        <v>940638.79999999993</v>
      </c>
      <c r="AF144" s="24"/>
      <c r="AG144" s="24">
        <v>-32291.75</v>
      </c>
      <c r="AH144" s="24"/>
      <c r="AI144" s="24">
        <v>124019.94</v>
      </c>
      <c r="AJ144" s="24"/>
      <c r="AK144" s="24">
        <v>91728.19</v>
      </c>
      <c r="AL144" s="24">
        <f>+'Gov Rev'!AI144-'Gov Exp'!AE144+'Gov Exp'!AI144-'Gov Exp'!AK144</f>
        <v>1.1641532182693481E-10</v>
      </c>
      <c r="AM144" s="15" t="str">
        <f>'Gov Rev'!A144</f>
        <v>Coal Grove</v>
      </c>
      <c r="AN144" s="15" t="str">
        <f t="shared" si="7"/>
        <v>Coal Grove</v>
      </c>
      <c r="AO144" s="15" t="b">
        <f t="shared" si="8"/>
        <v>1</v>
      </c>
    </row>
    <row r="145" spans="1:41" ht="12" customHeight="1" x14ac:dyDescent="0.2">
      <c r="A145" s="1" t="s">
        <v>664</v>
      </c>
      <c r="B145" s="1"/>
      <c r="C145" s="1" t="s">
        <v>663</v>
      </c>
      <c r="E145" s="24">
        <v>74820.210000000006</v>
      </c>
      <c r="G145" s="24">
        <v>298.39</v>
      </c>
      <c r="I145" s="24">
        <v>0</v>
      </c>
      <c r="K145" s="24">
        <v>7362.16</v>
      </c>
      <c r="M145" s="24">
        <v>539.71</v>
      </c>
      <c r="O145" s="24">
        <v>21203.62</v>
      </c>
      <c r="Q145" s="24">
        <v>36456.9</v>
      </c>
      <c r="S145" s="24">
        <v>1385.69</v>
      </c>
      <c r="U145" s="24">
        <v>4973.34</v>
      </c>
      <c r="W145" s="24">
        <v>2493.54</v>
      </c>
      <c r="Y145" s="24">
        <v>0</v>
      </c>
      <c r="AA145" s="24">
        <v>0</v>
      </c>
      <c r="AC145" s="24">
        <v>0</v>
      </c>
      <c r="AE145" s="24">
        <f t="shared" si="6"/>
        <v>149533.56000000003</v>
      </c>
      <c r="AF145" s="24"/>
      <c r="AG145" s="24">
        <v>9275.4</v>
      </c>
      <c r="AH145" s="24"/>
      <c r="AI145" s="24">
        <v>247276.5</v>
      </c>
      <c r="AJ145" s="24"/>
      <c r="AK145" s="24">
        <v>256551.9</v>
      </c>
      <c r="AL145" s="24">
        <f>+'Gov Rev'!AI145-'Gov Exp'!AE145+'Gov Exp'!AI145-'Gov Exp'!AK145</f>
        <v>0</v>
      </c>
      <c r="AM145" s="15" t="str">
        <f>'Gov Rev'!A145</f>
        <v>Coalton</v>
      </c>
      <c r="AN145" s="15" t="str">
        <f t="shared" si="7"/>
        <v>Coalton</v>
      </c>
      <c r="AO145" s="15" t="b">
        <f t="shared" si="8"/>
        <v>1</v>
      </c>
    </row>
    <row r="146" spans="1:41" ht="12" customHeight="1" x14ac:dyDescent="0.2">
      <c r="A146" s="15" t="s">
        <v>884</v>
      </c>
      <c r="C146" s="15" t="s">
        <v>466</v>
      </c>
      <c r="D146" s="28"/>
      <c r="E146" s="24">
        <v>181802</v>
      </c>
      <c r="G146" s="24">
        <v>0</v>
      </c>
      <c r="I146" s="24">
        <v>227457</v>
      </c>
      <c r="K146" s="24">
        <v>23109</v>
      </c>
      <c r="M146" s="24">
        <v>0</v>
      </c>
      <c r="O146" s="24">
        <v>0</v>
      </c>
      <c r="Q146" s="24">
        <v>4087</v>
      </c>
      <c r="S146" s="24">
        <v>28209</v>
      </c>
      <c r="U146" s="24">
        <v>289719</v>
      </c>
      <c r="W146" s="24">
        <v>0</v>
      </c>
      <c r="Y146" s="24">
        <v>0</v>
      </c>
      <c r="AA146" s="24">
        <v>0</v>
      </c>
      <c r="AC146" s="24">
        <v>37000</v>
      </c>
      <c r="AE146" s="24">
        <f t="shared" si="6"/>
        <v>791383</v>
      </c>
      <c r="AF146" s="24"/>
      <c r="AG146" s="24">
        <v>12931</v>
      </c>
      <c r="AH146" s="24"/>
      <c r="AI146" s="24">
        <v>22831</v>
      </c>
      <c r="AJ146" s="24"/>
      <c r="AK146" s="24">
        <v>35762</v>
      </c>
      <c r="AL146" s="24">
        <f>+'Gov Rev'!AI146-'Gov Exp'!AE146+'Gov Exp'!AI146-'Gov Exp'!AK146</f>
        <v>0</v>
      </c>
      <c r="AM146" s="15" t="str">
        <f>'Gov Rev'!A146</f>
        <v>Coldwater</v>
      </c>
      <c r="AN146" s="15" t="str">
        <f t="shared" si="7"/>
        <v>Coldwater</v>
      </c>
      <c r="AO146" s="15" t="b">
        <f t="shared" si="8"/>
        <v>1</v>
      </c>
    </row>
    <row r="147" spans="1:41" s="31" customFormat="1" ht="12" customHeight="1" x14ac:dyDescent="0.2">
      <c r="A147" s="1" t="s">
        <v>199</v>
      </c>
      <c r="B147" s="1"/>
      <c r="C147" s="1" t="s">
        <v>796</v>
      </c>
      <c r="D147" s="15"/>
      <c r="E147" s="24">
        <v>46511.94</v>
      </c>
      <c r="F147" s="24"/>
      <c r="G147" s="24">
        <v>0</v>
      </c>
      <c r="H147" s="24"/>
      <c r="I147" s="24">
        <v>0</v>
      </c>
      <c r="J147" s="24"/>
      <c r="K147" s="24">
        <v>0</v>
      </c>
      <c r="L147" s="24"/>
      <c r="M147" s="24">
        <v>0</v>
      </c>
      <c r="N147" s="24"/>
      <c r="O147" s="24">
        <v>11584.29</v>
      </c>
      <c r="P147" s="24"/>
      <c r="Q147" s="24">
        <v>22568.03</v>
      </c>
      <c r="R147" s="24"/>
      <c r="S147" s="24">
        <v>89801.919999999998</v>
      </c>
      <c r="T147" s="24"/>
      <c r="U147" s="24">
        <v>0</v>
      </c>
      <c r="V147" s="24"/>
      <c r="W147" s="24">
        <v>0</v>
      </c>
      <c r="X147" s="24"/>
      <c r="Y147" s="24">
        <v>0</v>
      </c>
      <c r="Z147" s="24"/>
      <c r="AA147" s="24">
        <v>0</v>
      </c>
      <c r="AB147" s="24"/>
      <c r="AC147" s="24">
        <v>1272.42</v>
      </c>
      <c r="AD147" s="24"/>
      <c r="AE147" s="24">
        <f t="shared" si="6"/>
        <v>171738.6</v>
      </c>
      <c r="AF147" s="24"/>
      <c r="AG147" s="24">
        <v>14984.29</v>
      </c>
      <c r="AH147" s="24"/>
      <c r="AI147" s="24">
        <v>178946.42</v>
      </c>
      <c r="AJ147" s="24"/>
      <c r="AK147" s="24">
        <v>193930.71</v>
      </c>
      <c r="AL147" s="24">
        <f>+'Gov Rev'!AI147-'Gov Exp'!AE147+'Gov Exp'!AI147-'Gov Exp'!AK147</f>
        <v>0</v>
      </c>
      <c r="AM147" s="15" t="str">
        <f>'Gov Rev'!A147</f>
        <v>College Corner</v>
      </c>
      <c r="AN147" s="15" t="str">
        <f t="shared" si="7"/>
        <v>College Corner</v>
      </c>
      <c r="AO147" s="15" t="b">
        <f t="shared" si="8"/>
        <v>1</v>
      </c>
    </row>
    <row r="148" spans="1:41" ht="12" customHeight="1" x14ac:dyDescent="0.2">
      <c r="A148" s="1"/>
      <c r="B148" s="1"/>
      <c r="C148" s="1"/>
      <c r="AE148" s="24"/>
      <c r="AF148" s="24"/>
      <c r="AG148" s="24"/>
      <c r="AH148" s="24"/>
      <c r="AI148" s="24"/>
      <c r="AJ148" s="24"/>
      <c r="AK148" s="24"/>
      <c r="AL148" s="24"/>
    </row>
    <row r="149" spans="1:41" ht="12" customHeight="1" x14ac:dyDescent="0.2">
      <c r="A149" s="1"/>
      <c r="B149" s="1"/>
      <c r="C149" s="1"/>
      <c r="AE149" s="77" t="s">
        <v>850</v>
      </c>
      <c r="AF149" s="24"/>
      <c r="AG149" s="24"/>
      <c r="AH149" s="24"/>
      <c r="AI149" s="24"/>
      <c r="AJ149" s="24"/>
      <c r="AK149" s="24"/>
      <c r="AL149" s="24"/>
    </row>
    <row r="150" spans="1:41" ht="12" customHeight="1" x14ac:dyDescent="0.2">
      <c r="A150" s="1"/>
      <c r="B150" s="1"/>
      <c r="C150" s="1"/>
      <c r="AE150" s="24"/>
      <c r="AF150" s="24"/>
      <c r="AG150" s="24"/>
      <c r="AH150" s="24"/>
      <c r="AI150" s="24"/>
      <c r="AJ150" s="24"/>
      <c r="AK150" s="24"/>
      <c r="AL150" s="24"/>
    </row>
    <row r="151" spans="1:41" s="31" customFormat="1" ht="12" customHeight="1" x14ac:dyDescent="0.2">
      <c r="A151" s="15" t="s">
        <v>514</v>
      </c>
      <c r="B151" s="15"/>
      <c r="C151" s="15" t="s">
        <v>513</v>
      </c>
      <c r="D151" s="15"/>
      <c r="E151" s="91">
        <f>173036+178515</f>
        <v>351551</v>
      </c>
      <c r="F151" s="91"/>
      <c r="G151" s="91">
        <v>0</v>
      </c>
      <c r="H151" s="91"/>
      <c r="I151" s="91">
        <f>123136+26315</f>
        <v>149451</v>
      </c>
      <c r="J151" s="91"/>
      <c r="K151" s="91">
        <v>0</v>
      </c>
      <c r="L151" s="91"/>
      <c r="M151" s="91">
        <f>1832+8665+95329</f>
        <v>105826</v>
      </c>
      <c r="N151" s="91"/>
      <c r="O151" s="91">
        <f>5381+126771</f>
        <v>132152</v>
      </c>
      <c r="P151" s="91"/>
      <c r="Q151" s="91">
        <f>165068+18306+2555+3640+2</f>
        <v>189571</v>
      </c>
      <c r="R151" s="91"/>
      <c r="S151" s="91">
        <v>24784</v>
      </c>
      <c r="T151" s="91"/>
      <c r="U151" s="91">
        <f>58182+102961</f>
        <v>161143</v>
      </c>
      <c r="V151" s="91"/>
      <c r="W151" s="91">
        <f>3420+10190</f>
        <v>13610</v>
      </c>
      <c r="X151" s="91"/>
      <c r="Y151" s="91">
        <v>165488</v>
      </c>
      <c r="Z151" s="91"/>
      <c r="AA151" s="91">
        <v>0</v>
      </c>
      <c r="AB151" s="91"/>
      <c r="AC151" s="91">
        <v>0</v>
      </c>
      <c r="AD151" s="91"/>
      <c r="AE151" s="91">
        <f t="shared" si="6"/>
        <v>1293576</v>
      </c>
      <c r="AF151" s="24"/>
      <c r="AG151" s="24">
        <v>86992</v>
      </c>
      <c r="AH151" s="24"/>
      <c r="AI151" s="24">
        <f>AK151-AG151</f>
        <v>532265</v>
      </c>
      <c r="AJ151" s="24"/>
      <c r="AK151" s="24">
        <f>177358+219454+15623+206822</f>
        <v>619257</v>
      </c>
      <c r="AL151" s="24">
        <f>+'Gov Rev'!AI148-'Gov Exp'!AE151+'Gov Exp'!AI151-'Gov Exp'!AK151</f>
        <v>0</v>
      </c>
      <c r="AM151" s="15" t="str">
        <f>'Gov Rev'!A148</f>
        <v>Columbus Grove</v>
      </c>
      <c r="AN151" s="15" t="str">
        <f t="shared" si="7"/>
        <v>Columbus Grove</v>
      </c>
      <c r="AO151" s="15" t="b">
        <f t="shared" si="8"/>
        <v>1</v>
      </c>
    </row>
    <row r="152" spans="1:41" s="37" customFormat="1" ht="12" customHeight="1" x14ac:dyDescent="0.2">
      <c r="A152" s="1" t="s">
        <v>188</v>
      </c>
      <c r="B152" s="1"/>
      <c r="C152" s="1" t="s">
        <v>793</v>
      </c>
      <c r="D152" s="15"/>
      <c r="E152" s="24">
        <v>125013.52</v>
      </c>
      <c r="F152" s="24"/>
      <c r="G152" s="24">
        <v>7316.62</v>
      </c>
      <c r="H152" s="24"/>
      <c r="I152" s="24">
        <v>0</v>
      </c>
      <c r="J152" s="24"/>
      <c r="K152" s="24">
        <v>15656.06</v>
      </c>
      <c r="L152" s="24"/>
      <c r="M152" s="24">
        <v>1009.51</v>
      </c>
      <c r="N152" s="24"/>
      <c r="O152" s="24">
        <v>110374.59</v>
      </c>
      <c r="P152" s="24"/>
      <c r="Q152" s="24">
        <v>137632.53</v>
      </c>
      <c r="R152" s="24"/>
      <c r="S152" s="24">
        <v>0</v>
      </c>
      <c r="T152" s="24"/>
      <c r="U152" s="24">
        <v>0</v>
      </c>
      <c r="V152" s="24"/>
      <c r="W152" s="24">
        <v>0</v>
      </c>
      <c r="X152" s="24"/>
      <c r="Y152" s="24">
        <v>0</v>
      </c>
      <c r="Z152" s="24"/>
      <c r="AA152" s="24">
        <v>0</v>
      </c>
      <c r="AB152" s="24"/>
      <c r="AC152" s="24">
        <v>0</v>
      </c>
      <c r="AD152" s="24"/>
      <c r="AE152" s="24">
        <f t="shared" si="6"/>
        <v>397002.83</v>
      </c>
      <c r="AF152" s="24"/>
      <c r="AG152" s="24">
        <v>196360.13</v>
      </c>
      <c r="AH152" s="24"/>
      <c r="AI152" s="24">
        <v>720853.38</v>
      </c>
      <c r="AJ152" s="24"/>
      <c r="AK152" s="24">
        <v>917213.51</v>
      </c>
      <c r="AL152" s="24">
        <f>+'Gov Rev'!AI149-'Gov Exp'!AE152+'Gov Exp'!AI152-'Gov Exp'!AK152</f>
        <v>0</v>
      </c>
      <c r="AM152" s="15" t="str">
        <f>'Gov Rev'!A149</f>
        <v>Commercial Poin</v>
      </c>
      <c r="AN152" s="15" t="str">
        <f t="shared" si="7"/>
        <v>Commercial Poin</v>
      </c>
      <c r="AO152" s="15" t="b">
        <f t="shared" si="8"/>
        <v>1</v>
      </c>
    </row>
    <row r="153" spans="1:41" ht="12" hidden="1" customHeight="1" x14ac:dyDescent="0.2">
      <c r="A153" s="1" t="s">
        <v>307</v>
      </c>
      <c r="B153" s="1"/>
      <c r="C153" s="1" t="s">
        <v>308</v>
      </c>
      <c r="AE153" s="24">
        <f t="shared" si="6"/>
        <v>0</v>
      </c>
      <c r="AF153" s="24"/>
      <c r="AG153" s="24"/>
      <c r="AH153" s="24"/>
      <c r="AI153" s="24"/>
      <c r="AJ153" s="24"/>
      <c r="AK153" s="24"/>
      <c r="AL153" s="24">
        <f>+'Gov Rev'!AI150-'Gov Exp'!AE153+'Gov Exp'!AI153-'Gov Exp'!AK153</f>
        <v>0</v>
      </c>
      <c r="AM153" s="15" t="str">
        <f>'Gov Rev'!A150</f>
        <v>Conesville</v>
      </c>
      <c r="AN153" s="15" t="str">
        <f t="shared" si="7"/>
        <v>Conesville</v>
      </c>
      <c r="AO153" s="15" t="b">
        <f t="shared" si="8"/>
        <v>1</v>
      </c>
    </row>
    <row r="154" spans="1:41" ht="12" customHeight="1" x14ac:dyDescent="0.2">
      <c r="A154" s="1" t="s">
        <v>918</v>
      </c>
      <c r="B154" s="1"/>
      <c r="C154" s="1" t="s">
        <v>588</v>
      </c>
      <c r="E154" s="24">
        <v>0</v>
      </c>
      <c r="G154" s="24">
        <v>240.96</v>
      </c>
      <c r="I154" s="24">
        <v>0</v>
      </c>
      <c r="K154" s="24">
        <v>0</v>
      </c>
      <c r="M154" s="24">
        <v>2750</v>
      </c>
      <c r="O154" s="24">
        <v>12465</v>
      </c>
      <c r="Q154" s="24">
        <v>19399.240000000002</v>
      </c>
      <c r="S154" s="24">
        <v>0</v>
      </c>
      <c r="U154" s="24">
        <v>0</v>
      </c>
      <c r="W154" s="24">
        <v>0</v>
      </c>
      <c r="Y154" s="24">
        <v>3303.78</v>
      </c>
      <c r="AA154" s="24">
        <v>0</v>
      </c>
      <c r="AC154" s="24">
        <v>0</v>
      </c>
      <c r="AE154" s="24">
        <f t="shared" si="6"/>
        <v>38158.979999999996</v>
      </c>
      <c r="AF154" s="24"/>
      <c r="AG154" s="24">
        <v>3294.83</v>
      </c>
      <c r="AH154" s="24"/>
      <c r="AI154" s="24">
        <v>18578.09</v>
      </c>
      <c r="AJ154" s="24"/>
      <c r="AK154" s="24">
        <v>21872.92</v>
      </c>
      <c r="AL154" s="24">
        <f>+'Gov Rev'!AI151-'Gov Exp'!AE154+'Gov Exp'!AI154-'Gov Exp'!AK154</f>
        <v>0</v>
      </c>
      <c r="AM154" s="15" t="str">
        <f>'Gov Rev'!A151</f>
        <v>Congress</v>
      </c>
      <c r="AN154" s="15" t="str">
        <f t="shared" si="7"/>
        <v>Congress</v>
      </c>
      <c r="AO154" s="15" t="b">
        <f t="shared" si="8"/>
        <v>1</v>
      </c>
    </row>
    <row r="155" spans="1:41" ht="12" customHeight="1" x14ac:dyDescent="0.2">
      <c r="A155" s="10" t="s">
        <v>202</v>
      </c>
      <c r="B155" s="10"/>
      <c r="C155" s="10" t="s">
        <v>797</v>
      </c>
      <c r="E155" s="24">
        <v>176772.8</v>
      </c>
      <c r="G155" s="24">
        <v>0</v>
      </c>
      <c r="I155" s="24">
        <v>0</v>
      </c>
      <c r="K155" s="24">
        <v>0</v>
      </c>
      <c r="M155" s="24">
        <v>7194.72</v>
      </c>
      <c r="O155" s="24">
        <v>104564.54</v>
      </c>
      <c r="Q155" s="24">
        <v>122313.28</v>
      </c>
      <c r="S155" s="24">
        <v>15000</v>
      </c>
      <c r="U155" s="24">
        <v>61515.46</v>
      </c>
      <c r="W155" s="24">
        <v>22224.23</v>
      </c>
      <c r="Y155" s="24">
        <v>43883.28</v>
      </c>
      <c r="AA155" s="24">
        <v>26390</v>
      </c>
      <c r="AC155" s="24">
        <v>0</v>
      </c>
      <c r="AE155" s="24">
        <f t="shared" si="6"/>
        <v>579858.30999999994</v>
      </c>
      <c r="AF155" s="24"/>
      <c r="AG155" s="24">
        <v>61968.77</v>
      </c>
      <c r="AH155" s="24"/>
      <c r="AI155" s="24">
        <v>333888.65000000002</v>
      </c>
      <c r="AJ155" s="24"/>
      <c r="AK155" s="24">
        <v>395857.42</v>
      </c>
      <c r="AL155" s="24">
        <f>+'Gov Rev'!AI152-'Gov Exp'!AE155+'Gov Exp'!AI155-'Gov Exp'!AK155</f>
        <v>0</v>
      </c>
      <c r="AM155" s="15" t="str">
        <f>'Gov Rev'!A152</f>
        <v>Continental</v>
      </c>
      <c r="AN155" s="15" t="str">
        <f t="shared" si="7"/>
        <v>Continental</v>
      </c>
      <c r="AO155" s="15" t="b">
        <f t="shared" si="8"/>
        <v>1</v>
      </c>
    </row>
    <row r="156" spans="1:41" ht="12" customHeight="1" x14ac:dyDescent="0.2">
      <c r="A156" s="1" t="s">
        <v>239</v>
      </c>
      <c r="B156" s="1"/>
      <c r="C156" s="1" t="s">
        <v>808</v>
      </c>
      <c r="D156" s="28"/>
      <c r="E156" s="24">
        <v>369813.14</v>
      </c>
      <c r="G156" s="24">
        <v>7872</v>
      </c>
      <c r="I156" s="24">
        <v>0</v>
      </c>
      <c r="K156" s="24">
        <v>2421.27</v>
      </c>
      <c r="M156" s="24">
        <v>5296.36</v>
      </c>
      <c r="O156" s="24">
        <v>62832.92</v>
      </c>
      <c r="Q156" s="24">
        <v>119721.09</v>
      </c>
      <c r="S156" s="24">
        <v>38448.339999999997</v>
      </c>
      <c r="U156" s="24">
        <v>27485.8</v>
      </c>
      <c r="W156" s="24">
        <v>0</v>
      </c>
      <c r="Y156" s="24">
        <v>1845.68</v>
      </c>
      <c r="AA156" s="24">
        <v>0</v>
      </c>
      <c r="AC156" s="24">
        <v>0</v>
      </c>
      <c r="AE156" s="24">
        <f t="shared" si="6"/>
        <v>635736.60000000009</v>
      </c>
      <c r="AF156" s="24"/>
      <c r="AG156" s="24">
        <v>-212361.04</v>
      </c>
      <c r="AH156" s="24"/>
      <c r="AI156" s="24">
        <v>899554.7</v>
      </c>
      <c r="AJ156" s="24"/>
      <c r="AK156" s="24">
        <v>687193.66</v>
      </c>
      <c r="AL156" s="24">
        <f>+'Gov Rev'!AI153-'Gov Exp'!AE156+'Gov Exp'!AI156-'Gov Exp'!AK156</f>
        <v>0</v>
      </c>
      <c r="AM156" s="15" t="str">
        <f>'Gov Rev'!A153</f>
        <v>Convoy</v>
      </c>
      <c r="AN156" s="15" t="str">
        <f t="shared" si="7"/>
        <v>Convoy</v>
      </c>
      <c r="AO156" s="15" t="b">
        <f t="shared" si="8"/>
        <v>1</v>
      </c>
    </row>
    <row r="157" spans="1:41" ht="12" customHeight="1" x14ac:dyDescent="0.2">
      <c r="A157" s="1" t="s">
        <v>919</v>
      </c>
      <c r="B157" s="1"/>
      <c r="C157" s="1" t="s">
        <v>271</v>
      </c>
      <c r="E157" s="24">
        <v>19008.39</v>
      </c>
      <c r="G157" s="24">
        <v>0</v>
      </c>
      <c r="I157" s="24">
        <v>0</v>
      </c>
      <c r="K157" s="24">
        <v>0</v>
      </c>
      <c r="M157" s="24">
        <v>8900.69</v>
      </c>
      <c r="O157" s="24">
        <v>41403.61</v>
      </c>
      <c r="Q157" s="24">
        <v>14825.7</v>
      </c>
      <c r="S157" s="24">
        <v>0</v>
      </c>
      <c r="U157" s="24">
        <v>0</v>
      </c>
      <c r="W157" s="24">
        <v>0</v>
      </c>
      <c r="Y157" s="24">
        <v>0</v>
      </c>
      <c r="AA157" s="24">
        <v>0</v>
      </c>
      <c r="AC157" s="24">
        <v>0</v>
      </c>
      <c r="AE157" s="24">
        <f t="shared" si="6"/>
        <v>84138.39</v>
      </c>
      <c r="AF157" s="24"/>
      <c r="AG157" s="24">
        <v>25059.32</v>
      </c>
      <c r="AH157" s="24"/>
      <c r="AI157" s="24">
        <v>55849.14</v>
      </c>
      <c r="AJ157" s="24"/>
      <c r="AK157" s="24">
        <v>80908.460000000006</v>
      </c>
      <c r="AL157" s="24">
        <f>+'Gov Rev'!AI154-'Gov Exp'!AE157+'Gov Exp'!AI157-'Gov Exp'!AK157</f>
        <v>0</v>
      </c>
      <c r="AM157" s="15" t="str">
        <f>'Gov Rev'!A154</f>
        <v>Coolville</v>
      </c>
      <c r="AN157" s="15" t="str">
        <f t="shared" si="7"/>
        <v>Coolville</v>
      </c>
      <c r="AO157" s="15" t="b">
        <f t="shared" si="8"/>
        <v>1</v>
      </c>
    </row>
    <row r="158" spans="1:41" ht="12" customHeight="1" x14ac:dyDescent="0.2">
      <c r="A158" s="1" t="s">
        <v>186</v>
      </c>
      <c r="B158" s="1"/>
      <c r="C158" s="1" t="s">
        <v>433</v>
      </c>
      <c r="D158" s="28"/>
      <c r="E158" s="24">
        <v>168994.32</v>
      </c>
      <c r="G158" s="24">
        <v>6937.33</v>
      </c>
      <c r="I158" s="24">
        <v>1030.1500000000001</v>
      </c>
      <c r="K158" s="24">
        <v>0</v>
      </c>
      <c r="M158" s="24">
        <v>0</v>
      </c>
      <c r="O158" s="24">
        <v>19924.89</v>
      </c>
      <c r="Q158" s="24">
        <v>37525.589999999997</v>
      </c>
      <c r="S158" s="24">
        <v>0</v>
      </c>
      <c r="U158" s="24">
        <v>5751.91</v>
      </c>
      <c r="W158" s="24">
        <v>5268.14</v>
      </c>
      <c r="Y158" s="24">
        <v>6000</v>
      </c>
      <c r="AA158" s="24">
        <v>0</v>
      </c>
      <c r="AC158" s="24">
        <v>0</v>
      </c>
      <c r="AE158" s="24">
        <f t="shared" si="6"/>
        <v>251432.33000000002</v>
      </c>
      <c r="AF158" s="24"/>
      <c r="AG158" s="24">
        <v>-36476.620000000003</v>
      </c>
      <c r="AH158" s="24"/>
      <c r="AI158" s="24">
        <v>316148.62</v>
      </c>
      <c r="AJ158" s="24"/>
      <c r="AK158" s="24">
        <v>279672</v>
      </c>
      <c r="AL158" s="24">
        <f>+'Gov Rev'!AI155-'Gov Exp'!AE158+'Gov Exp'!AI158-'Gov Exp'!AK158</f>
        <v>0</v>
      </c>
      <c r="AM158" s="15" t="str">
        <f>'Gov Rev'!A155</f>
        <v>Corning</v>
      </c>
      <c r="AN158" s="15" t="str">
        <f t="shared" si="7"/>
        <v>Corning</v>
      </c>
      <c r="AO158" s="15" t="b">
        <f t="shared" si="8"/>
        <v>1</v>
      </c>
    </row>
    <row r="159" spans="1:41" ht="12" customHeight="1" x14ac:dyDescent="0.2">
      <c r="A159" s="1" t="s">
        <v>920</v>
      </c>
      <c r="B159" s="1"/>
      <c r="C159" s="1" t="s">
        <v>484</v>
      </c>
      <c r="D159" s="28"/>
      <c r="E159" s="24">
        <v>211170.1</v>
      </c>
      <c r="G159" s="24">
        <v>0</v>
      </c>
      <c r="I159" s="24">
        <v>29426.63</v>
      </c>
      <c r="K159" s="24">
        <v>0</v>
      </c>
      <c r="M159" s="24">
        <v>0</v>
      </c>
      <c r="O159" s="24">
        <v>106394.25</v>
      </c>
      <c r="Q159" s="24">
        <v>232065.76</v>
      </c>
      <c r="S159" s="24">
        <v>49004.05</v>
      </c>
      <c r="U159" s="24">
        <v>938850.9</v>
      </c>
      <c r="W159" s="24">
        <v>34664.6</v>
      </c>
      <c r="Y159" s="24">
        <v>69888.47</v>
      </c>
      <c r="AA159" s="24">
        <v>0</v>
      </c>
      <c r="AC159" s="24">
        <v>0</v>
      </c>
      <c r="AE159" s="24">
        <f t="shared" si="6"/>
        <v>1671464.76</v>
      </c>
      <c r="AF159" s="24"/>
      <c r="AG159" s="24">
        <v>10948.8</v>
      </c>
      <c r="AH159" s="24"/>
      <c r="AI159" s="24">
        <v>200682.48</v>
      </c>
      <c r="AJ159" s="24"/>
      <c r="AK159" s="24">
        <v>211631.28</v>
      </c>
      <c r="AL159" s="24">
        <f>+'Gov Rev'!AI156-'Gov Exp'!AE159+'Gov Exp'!AI159-'Gov Exp'!AK159</f>
        <v>0</v>
      </c>
      <c r="AM159" s="15" t="str">
        <f>'Gov Rev'!A156</f>
        <v>Corp of South Zanesville</v>
      </c>
      <c r="AN159" s="15" t="str">
        <f t="shared" si="7"/>
        <v>Corp of South Zanesville</v>
      </c>
      <c r="AO159" s="15" t="b">
        <f t="shared" si="8"/>
        <v>1</v>
      </c>
    </row>
    <row r="160" spans="1:41" s="31" customFormat="1" ht="12" customHeight="1" x14ac:dyDescent="0.2">
      <c r="A160" s="15" t="s">
        <v>579</v>
      </c>
      <c r="B160" s="15"/>
      <c r="C160" s="15" t="s">
        <v>581</v>
      </c>
      <c r="D160" s="15"/>
      <c r="E160" s="24">
        <v>4043</v>
      </c>
      <c r="F160" s="24"/>
      <c r="G160" s="24">
        <v>0</v>
      </c>
      <c r="H160" s="24"/>
      <c r="I160" s="24">
        <v>0</v>
      </c>
      <c r="J160" s="24"/>
      <c r="K160" s="24">
        <v>1439</v>
      </c>
      <c r="L160" s="24"/>
      <c r="M160" s="24">
        <v>0</v>
      </c>
      <c r="N160" s="24"/>
      <c r="O160" s="24">
        <v>3774</v>
      </c>
      <c r="P160" s="24"/>
      <c r="Q160" s="24">
        <f>28825-3</f>
        <v>28822</v>
      </c>
      <c r="R160" s="24"/>
      <c r="S160" s="24">
        <v>0</v>
      </c>
      <c r="T160" s="24"/>
      <c r="U160" s="24">
        <v>0</v>
      </c>
      <c r="V160" s="24"/>
      <c r="W160" s="24">
        <v>0</v>
      </c>
      <c r="X160" s="24"/>
      <c r="Y160" s="24">
        <v>0</v>
      </c>
      <c r="Z160" s="24"/>
      <c r="AA160" s="24">
        <v>0</v>
      </c>
      <c r="AB160" s="24"/>
      <c r="AC160" s="24">
        <v>0</v>
      </c>
      <c r="AD160" s="24"/>
      <c r="AE160" s="24">
        <f t="shared" si="6"/>
        <v>38078</v>
      </c>
      <c r="AF160" s="24"/>
      <c r="AG160" s="24">
        <v>38692</v>
      </c>
      <c r="AH160" s="24"/>
      <c r="AI160" s="24">
        <v>319404</v>
      </c>
      <c r="AJ160" s="24"/>
      <c r="AK160" s="24">
        <v>358099</v>
      </c>
      <c r="AL160" s="24">
        <f>+'Gov Rev'!AI160-'Gov Exp'!AE160+'Gov Exp'!AI160-'Gov Exp'!AK160</f>
        <v>0</v>
      </c>
      <c r="AM160" s="15" t="str">
        <f>'Gov Rev'!A160</f>
        <v>Corwin</v>
      </c>
      <c r="AN160" s="15" t="str">
        <f t="shared" si="7"/>
        <v>Corwin</v>
      </c>
      <c r="AO160" s="15" t="b">
        <f t="shared" si="8"/>
        <v>1</v>
      </c>
    </row>
    <row r="161" spans="1:41" ht="12" customHeight="1" x14ac:dyDescent="0.2">
      <c r="A161" s="15" t="s">
        <v>885</v>
      </c>
      <c r="C161" s="15" t="s">
        <v>470</v>
      </c>
      <c r="D161" s="28"/>
      <c r="E161" s="24">
        <f>519958+40373</f>
        <v>560331</v>
      </c>
      <c r="G161" s="24">
        <v>91801</v>
      </c>
      <c r="I161" s="24">
        <v>8776</v>
      </c>
      <c r="K161" s="24">
        <v>0</v>
      </c>
      <c r="M161" s="24">
        <v>0</v>
      </c>
      <c r="O161" s="24">
        <v>201850</v>
      </c>
      <c r="Q161" s="24">
        <v>240398</v>
      </c>
      <c r="S161" s="24">
        <f>14362+11989+64559</f>
        <v>90910</v>
      </c>
      <c r="U161" s="24">
        <f>90000+125000</f>
        <v>215000</v>
      </c>
      <c r="W161" s="24">
        <f>17213+19775</f>
        <v>36988</v>
      </c>
      <c r="Y161" s="24">
        <v>94250</v>
      </c>
      <c r="AA161" s="24">
        <v>0</v>
      </c>
      <c r="AC161" s="24">
        <v>0</v>
      </c>
      <c r="AE161" s="24">
        <f t="shared" si="6"/>
        <v>1540304</v>
      </c>
      <c r="AF161" s="24"/>
      <c r="AG161" s="24">
        <f>198071+77024+225-69781</f>
        <v>205539</v>
      </c>
      <c r="AH161" s="24"/>
      <c r="AI161" s="24">
        <v>466325</v>
      </c>
      <c r="AJ161" s="24"/>
      <c r="AK161" s="24">
        <v>671864</v>
      </c>
      <c r="AL161" s="24">
        <f>+'Gov Rev'!AI161-'Gov Exp'!AE161+'Gov Exp'!AI161-'Gov Exp'!AK161</f>
        <v>0</v>
      </c>
      <c r="AM161" s="15" t="str">
        <f>'Gov Rev'!A161</f>
        <v>Covington</v>
      </c>
      <c r="AN161" s="15" t="str">
        <f t="shared" si="7"/>
        <v>Covington</v>
      </c>
      <c r="AO161" s="15" t="b">
        <f t="shared" si="8"/>
        <v>1</v>
      </c>
    </row>
    <row r="162" spans="1:41" ht="12" customHeight="1" x14ac:dyDescent="0.2">
      <c r="A162" s="1" t="s">
        <v>144</v>
      </c>
      <c r="B162" s="1"/>
      <c r="C162" s="1" t="s">
        <v>779</v>
      </c>
      <c r="E162" s="24">
        <v>81928.23</v>
      </c>
      <c r="G162" s="24">
        <v>5438.03</v>
      </c>
      <c r="I162" s="24">
        <v>32099.74</v>
      </c>
      <c r="K162" s="24">
        <v>3127.68</v>
      </c>
      <c r="M162" s="24">
        <v>6843.05</v>
      </c>
      <c r="O162" s="24">
        <v>18510.36</v>
      </c>
      <c r="Q162" s="24">
        <v>56858.9</v>
      </c>
      <c r="S162" s="24">
        <v>0</v>
      </c>
      <c r="U162" s="24">
        <v>0</v>
      </c>
      <c r="W162" s="24">
        <v>0</v>
      </c>
      <c r="Y162" s="24">
        <v>0</v>
      </c>
      <c r="AA162" s="24">
        <v>0</v>
      </c>
      <c r="AC162" s="24">
        <v>0</v>
      </c>
      <c r="AE162" s="24">
        <f t="shared" si="6"/>
        <v>204805.99</v>
      </c>
      <c r="AF162" s="24"/>
      <c r="AG162" s="24">
        <v>57616.68</v>
      </c>
      <c r="AH162" s="24"/>
      <c r="AI162" s="24">
        <v>360185.67</v>
      </c>
      <c r="AJ162" s="24"/>
      <c r="AK162" s="24">
        <v>417802.35</v>
      </c>
      <c r="AL162" s="24">
        <f>+'Gov Rev'!AI162-'Gov Exp'!AE162+'Gov Exp'!AI162-'Gov Exp'!AK162</f>
        <v>0</v>
      </c>
      <c r="AM162" s="15" t="str">
        <f>'Gov Rev'!A162</f>
        <v>Craig Beach</v>
      </c>
      <c r="AN162" s="15" t="str">
        <f t="shared" si="7"/>
        <v>Craig Beach</v>
      </c>
      <c r="AO162" s="15" t="b">
        <f t="shared" si="8"/>
        <v>1</v>
      </c>
    </row>
    <row r="163" spans="1:41" s="31" customFormat="1" ht="12" customHeight="1" x14ac:dyDescent="0.2">
      <c r="A163" s="15" t="s">
        <v>952</v>
      </c>
      <c r="B163" s="15"/>
      <c r="C163" s="15" t="s">
        <v>312</v>
      </c>
      <c r="D163" s="28"/>
      <c r="E163" s="24">
        <v>1175130</v>
      </c>
      <c r="F163" s="24"/>
      <c r="G163" s="24">
        <v>0</v>
      </c>
      <c r="H163" s="24"/>
      <c r="I163" s="24">
        <v>137890</v>
      </c>
      <c r="J163" s="24"/>
      <c r="K163" s="24">
        <v>61654</v>
      </c>
      <c r="L163" s="24"/>
      <c r="M163" s="24">
        <v>0</v>
      </c>
      <c r="N163" s="24"/>
      <c r="O163" s="24">
        <v>538013</v>
      </c>
      <c r="P163" s="24"/>
      <c r="Q163" s="24">
        <v>298008</v>
      </c>
      <c r="R163" s="24"/>
      <c r="S163" s="24">
        <v>442021</v>
      </c>
      <c r="T163" s="24"/>
      <c r="U163" s="24">
        <v>18277</v>
      </c>
      <c r="V163" s="24"/>
      <c r="W163" s="24">
        <v>7649</v>
      </c>
      <c r="X163" s="24"/>
      <c r="Y163" s="24">
        <v>107285</v>
      </c>
      <c r="Z163" s="24"/>
      <c r="AA163" s="24">
        <v>0</v>
      </c>
      <c r="AB163" s="24"/>
      <c r="AC163" s="24">
        <v>0</v>
      </c>
      <c r="AD163" s="24"/>
      <c r="AE163" s="24">
        <f t="shared" si="6"/>
        <v>2785927</v>
      </c>
      <c r="AF163" s="24"/>
      <c r="AG163" s="24">
        <v>188056</v>
      </c>
      <c r="AH163" s="24"/>
      <c r="AI163" s="24">
        <v>546112</v>
      </c>
      <c r="AJ163" s="24"/>
      <c r="AK163" s="24">
        <v>358056</v>
      </c>
      <c r="AL163" s="24">
        <f>+'Gov Rev'!AI163-'Gov Exp'!AE163+'Gov Exp'!AI163-'Gov Exp'!AK163</f>
        <v>0</v>
      </c>
      <c r="AM163" s="15" t="str">
        <f>'Gov Rev'!A163</f>
        <v>Crestline</v>
      </c>
      <c r="AN163" s="15" t="str">
        <f t="shared" si="7"/>
        <v>Crestline</v>
      </c>
      <c r="AO163" s="15" t="b">
        <f t="shared" si="8"/>
        <v>1</v>
      </c>
    </row>
    <row r="164" spans="1:41" ht="12" customHeight="1" x14ac:dyDescent="0.2">
      <c r="A164" s="1" t="s">
        <v>589</v>
      </c>
      <c r="B164" s="1"/>
      <c r="C164" s="1" t="s">
        <v>590</v>
      </c>
      <c r="E164" s="24">
        <v>241947.67</v>
      </c>
      <c r="G164" s="24">
        <v>11878.65</v>
      </c>
      <c r="I164" s="24">
        <v>17385.830000000002</v>
      </c>
      <c r="K164" s="24">
        <v>0</v>
      </c>
      <c r="M164" s="24">
        <v>0</v>
      </c>
      <c r="O164" s="24">
        <v>100463.73</v>
      </c>
      <c r="Q164" s="24">
        <v>210875.9</v>
      </c>
      <c r="S164" s="24">
        <v>53454.66</v>
      </c>
      <c r="U164" s="24">
        <v>31177.77</v>
      </c>
      <c r="W164" s="24">
        <v>13200.78</v>
      </c>
      <c r="Y164" s="24">
        <v>129000</v>
      </c>
      <c r="AA164" s="24">
        <v>0</v>
      </c>
      <c r="AC164" s="24">
        <v>16.89</v>
      </c>
      <c r="AE164" s="24">
        <f t="shared" si="6"/>
        <v>809401.88000000012</v>
      </c>
      <c r="AF164" s="24"/>
      <c r="AG164" s="24">
        <v>8654.82</v>
      </c>
      <c r="AH164" s="24"/>
      <c r="AI164" s="24">
        <v>1172500.3799999999</v>
      </c>
      <c r="AJ164" s="24"/>
      <c r="AK164" s="24">
        <v>1181155.2</v>
      </c>
      <c r="AL164" s="24">
        <f>+'Gov Rev'!AI164-'Gov Exp'!AE164+'Gov Exp'!AI164-'Gov Exp'!AK164</f>
        <v>0</v>
      </c>
      <c r="AM164" s="15" t="str">
        <f>'Gov Rev'!A164</f>
        <v>Creston</v>
      </c>
      <c r="AN164" s="15" t="str">
        <f t="shared" si="7"/>
        <v>Creston</v>
      </c>
      <c r="AO164" s="15" t="b">
        <f t="shared" si="8"/>
        <v>1</v>
      </c>
    </row>
    <row r="165" spans="1:41" ht="12" customHeight="1" x14ac:dyDescent="0.2">
      <c r="A165" s="15" t="s">
        <v>274</v>
      </c>
      <c r="C165" s="15" t="s">
        <v>275</v>
      </c>
      <c r="E165" s="24">
        <f>343216+77369</f>
        <v>420585</v>
      </c>
      <c r="G165" s="24">
        <v>0</v>
      </c>
      <c r="I165" s="24">
        <v>16150</v>
      </c>
      <c r="K165" s="24">
        <v>6093</v>
      </c>
      <c r="M165" s="24">
        <v>201</v>
      </c>
      <c r="O165" s="24">
        <f>6044+76269</f>
        <v>82313</v>
      </c>
      <c r="Q165" s="24">
        <f>178183+455</f>
        <v>178638</v>
      </c>
      <c r="S165" s="24">
        <f>1650+3945+105958</f>
        <v>111553</v>
      </c>
      <c r="U165" s="24">
        <v>14377</v>
      </c>
      <c r="W165" s="24">
        <v>0</v>
      </c>
      <c r="Y165" s="24">
        <v>23082</v>
      </c>
      <c r="AA165" s="24">
        <v>5658</v>
      </c>
      <c r="AC165" s="24">
        <v>0</v>
      </c>
      <c r="AE165" s="24">
        <f t="shared" si="6"/>
        <v>858650</v>
      </c>
      <c r="AF165" s="24"/>
      <c r="AG165" s="24">
        <v>298985</v>
      </c>
      <c r="AH165" s="24"/>
      <c r="AI165" s="24">
        <f>AK165-AG165</f>
        <v>258148</v>
      </c>
      <c r="AJ165" s="24"/>
      <c r="AK165" s="24">
        <f>419969+137164</f>
        <v>557133</v>
      </c>
      <c r="AL165" s="24">
        <f>+'Gov Rev'!AI165-'Gov Exp'!AE165+'Gov Exp'!AI165-'Gov Exp'!AK165</f>
        <v>0</v>
      </c>
      <c r="AM165" s="15" t="str">
        <f>'Gov Rev'!A165</f>
        <v>Cridersville</v>
      </c>
      <c r="AN165" s="15" t="str">
        <f t="shared" si="7"/>
        <v>Cridersville</v>
      </c>
      <c r="AO165" s="15" t="b">
        <f t="shared" si="8"/>
        <v>1</v>
      </c>
    </row>
    <row r="166" spans="1:41" ht="12" customHeight="1" x14ac:dyDescent="0.2">
      <c r="A166" s="15" t="s">
        <v>499</v>
      </c>
      <c r="C166" s="15" t="s">
        <v>500</v>
      </c>
      <c r="E166" s="24">
        <v>577039</v>
      </c>
      <c r="G166" s="24">
        <v>0</v>
      </c>
      <c r="I166" s="24">
        <v>98012</v>
      </c>
      <c r="K166" s="24">
        <v>0</v>
      </c>
      <c r="M166" s="24">
        <v>2377</v>
      </c>
      <c r="O166" s="24">
        <v>145863</v>
      </c>
      <c r="Q166" s="24">
        <v>280229</v>
      </c>
      <c r="S166" s="24">
        <v>9900</v>
      </c>
      <c r="U166" s="24">
        <v>420994</v>
      </c>
      <c r="W166" s="24">
        <v>0</v>
      </c>
      <c r="Y166" s="24">
        <v>0</v>
      </c>
      <c r="AA166" s="24">
        <v>0</v>
      </c>
      <c r="AC166" s="24">
        <f>579594-1</f>
        <v>579593</v>
      </c>
      <c r="AE166" s="24">
        <f t="shared" si="6"/>
        <v>2114007</v>
      </c>
      <c r="AF166" s="24"/>
      <c r="AG166" s="24">
        <v>109337</v>
      </c>
      <c r="AH166" s="24"/>
      <c r="AI166" s="24">
        <v>618544</v>
      </c>
      <c r="AJ166" s="24"/>
      <c r="AK166" s="24">
        <v>727882</v>
      </c>
      <c r="AL166" s="24">
        <f>+'Gov Rev'!AI166-'Gov Exp'!AE166+'Gov Exp'!AI166-'Gov Exp'!AK166</f>
        <v>0</v>
      </c>
      <c r="AM166" s="15" t="str">
        <f>'Gov Rev'!A166</f>
        <v>Crooksville</v>
      </c>
      <c r="AN166" s="15" t="str">
        <f t="shared" si="7"/>
        <v>Crooksville</v>
      </c>
      <c r="AO166" s="15" t="b">
        <f t="shared" si="8"/>
        <v>1</v>
      </c>
    </row>
    <row r="167" spans="1:41" s="31" customFormat="1" ht="12" customHeight="1" x14ac:dyDescent="0.2">
      <c r="A167" s="1" t="s">
        <v>80</v>
      </c>
      <c r="B167" s="1"/>
      <c r="C167" s="1" t="s">
        <v>760</v>
      </c>
      <c r="D167" s="15"/>
      <c r="E167" s="24">
        <v>58731.35</v>
      </c>
      <c r="F167" s="24"/>
      <c r="G167" s="24">
        <v>6175.02</v>
      </c>
      <c r="H167" s="24"/>
      <c r="I167" s="24">
        <v>264.37</v>
      </c>
      <c r="J167" s="24"/>
      <c r="K167" s="24">
        <v>0</v>
      </c>
      <c r="L167" s="24"/>
      <c r="M167" s="24">
        <v>0</v>
      </c>
      <c r="N167" s="24"/>
      <c r="O167" s="24">
        <v>20112.66</v>
      </c>
      <c r="P167" s="24"/>
      <c r="Q167" s="24">
        <v>31185.17</v>
      </c>
      <c r="R167" s="24"/>
      <c r="S167" s="24">
        <v>134047.81</v>
      </c>
      <c r="T167" s="24"/>
      <c r="U167" s="24">
        <v>0</v>
      </c>
      <c r="V167" s="24"/>
      <c r="W167" s="24">
        <v>20677</v>
      </c>
      <c r="X167" s="24"/>
      <c r="Y167" s="24">
        <v>400</v>
      </c>
      <c r="Z167" s="24"/>
      <c r="AA167" s="24">
        <v>0</v>
      </c>
      <c r="AB167" s="24"/>
      <c r="AC167" s="24">
        <v>0</v>
      </c>
      <c r="AD167" s="24"/>
      <c r="AE167" s="24">
        <f t="shared" si="6"/>
        <v>271593.38</v>
      </c>
      <c r="AF167" s="24"/>
      <c r="AG167" s="24">
        <v>-11731.5</v>
      </c>
      <c r="AH167" s="24"/>
      <c r="AI167" s="24">
        <v>103719.26</v>
      </c>
      <c r="AJ167" s="24"/>
      <c r="AK167" s="24">
        <v>91987.76</v>
      </c>
      <c r="AL167" s="24">
        <f>+'Gov Rev'!AI167-'Gov Exp'!AE167+'Gov Exp'!AI167-'Gov Exp'!AK167</f>
        <v>0</v>
      </c>
      <c r="AM167" s="15" t="str">
        <f>'Gov Rev'!A167</f>
        <v>Crown City</v>
      </c>
      <c r="AN167" s="15" t="str">
        <f t="shared" si="7"/>
        <v>Crown City</v>
      </c>
      <c r="AO167" s="15" t="b">
        <f t="shared" si="8"/>
        <v>1</v>
      </c>
    </row>
    <row r="168" spans="1:41" s="31" customFormat="1" ht="12" customHeight="1" x14ac:dyDescent="0.2">
      <c r="A168" s="1" t="s">
        <v>87</v>
      </c>
      <c r="B168" s="1"/>
      <c r="C168" s="1" t="s">
        <v>762</v>
      </c>
      <c r="D168" s="15"/>
      <c r="E168" s="24">
        <v>11255.35</v>
      </c>
      <c r="F168" s="24"/>
      <c r="G168" s="24">
        <v>0</v>
      </c>
      <c r="H168" s="24"/>
      <c r="I168" s="24">
        <v>2407.5700000000002</v>
      </c>
      <c r="J168" s="24"/>
      <c r="K168" s="24">
        <v>0</v>
      </c>
      <c r="L168" s="24"/>
      <c r="M168" s="24">
        <v>0</v>
      </c>
      <c r="N168" s="24"/>
      <c r="O168" s="24">
        <v>19757.53</v>
      </c>
      <c r="P168" s="24"/>
      <c r="Q168" s="24">
        <v>47473.94</v>
      </c>
      <c r="R168" s="24"/>
      <c r="S168" s="24">
        <v>59319.76</v>
      </c>
      <c r="T168" s="24"/>
      <c r="U168" s="24">
        <v>0</v>
      </c>
      <c r="V168" s="24"/>
      <c r="W168" s="24">
        <v>0</v>
      </c>
      <c r="X168" s="24"/>
      <c r="Y168" s="24">
        <v>0</v>
      </c>
      <c r="Z168" s="24"/>
      <c r="AA168" s="24">
        <v>10725</v>
      </c>
      <c r="AB168" s="24"/>
      <c r="AC168" s="24">
        <v>0</v>
      </c>
      <c r="AD168" s="24"/>
      <c r="AE168" s="24">
        <f t="shared" si="6"/>
        <v>150939.15</v>
      </c>
      <c r="AF168" s="24"/>
      <c r="AG168" s="24">
        <v>-1667.29</v>
      </c>
      <c r="AH168" s="24"/>
      <c r="AI168" s="24">
        <v>110085.84</v>
      </c>
      <c r="AJ168" s="24"/>
      <c r="AK168" s="24">
        <v>108418.55</v>
      </c>
      <c r="AL168" s="24">
        <f>+'Gov Rev'!AI168-'Gov Exp'!AE168+'Gov Exp'!AI168-'Gov Exp'!AK168</f>
        <v>0</v>
      </c>
      <c r="AM168" s="15" t="str">
        <f>'Gov Rev'!A168</f>
        <v>Cumberland</v>
      </c>
      <c r="AN168" s="15" t="str">
        <f t="shared" si="7"/>
        <v>Cumberland</v>
      </c>
      <c r="AO168" s="15" t="b">
        <f t="shared" si="8"/>
        <v>1</v>
      </c>
    </row>
    <row r="169" spans="1:41" s="31" customFormat="1" ht="12" customHeight="1" x14ac:dyDescent="0.2">
      <c r="A169" s="1" t="s">
        <v>254</v>
      </c>
      <c r="B169" s="1"/>
      <c r="C169" s="1" t="s">
        <v>813</v>
      </c>
      <c r="D169" s="28"/>
      <c r="E169" s="24">
        <v>1166.55</v>
      </c>
      <c r="F169" s="24"/>
      <c r="G169" s="24">
        <v>0</v>
      </c>
      <c r="H169" s="24"/>
      <c r="I169" s="24">
        <v>2452.02</v>
      </c>
      <c r="J169" s="24"/>
      <c r="K169" s="24">
        <v>252.51</v>
      </c>
      <c r="L169" s="24"/>
      <c r="M169" s="24">
        <v>0</v>
      </c>
      <c r="N169" s="24"/>
      <c r="O169" s="24">
        <v>2225.1799999999998</v>
      </c>
      <c r="P169" s="24"/>
      <c r="Q169" s="24">
        <v>19276.66</v>
      </c>
      <c r="R169" s="24"/>
      <c r="S169" s="24">
        <v>3813.24</v>
      </c>
      <c r="T169" s="24"/>
      <c r="U169" s="24">
        <v>0</v>
      </c>
      <c r="V169" s="24"/>
      <c r="W169" s="24">
        <v>0</v>
      </c>
      <c r="X169" s="24"/>
      <c r="Y169" s="24">
        <v>0</v>
      </c>
      <c r="Z169" s="24"/>
      <c r="AA169" s="24">
        <v>0</v>
      </c>
      <c r="AB169" s="24"/>
      <c r="AC169" s="24">
        <v>90.8</v>
      </c>
      <c r="AD169" s="24"/>
      <c r="AE169" s="24">
        <f t="shared" si="6"/>
        <v>29276.959999999995</v>
      </c>
      <c r="AF169" s="24"/>
      <c r="AG169" s="24">
        <v>-2887.74</v>
      </c>
      <c r="AH169" s="24"/>
      <c r="AI169" s="24">
        <v>102997.57</v>
      </c>
      <c r="AJ169" s="24"/>
      <c r="AK169" s="24">
        <v>100109.83</v>
      </c>
      <c r="AL169" s="24">
        <f>+'Gov Rev'!AI169-'Gov Exp'!AE169+'Gov Exp'!AI169-'Gov Exp'!AK169</f>
        <v>0</v>
      </c>
      <c r="AM169" s="15" t="str">
        <f>'Gov Rev'!A169</f>
        <v>Custar</v>
      </c>
      <c r="AN169" s="15" t="str">
        <f t="shared" si="7"/>
        <v>Custar</v>
      </c>
      <c r="AO169" s="15" t="b">
        <f t="shared" si="8"/>
        <v>1</v>
      </c>
    </row>
    <row r="170" spans="1:41" ht="12" customHeight="1" x14ac:dyDescent="0.2">
      <c r="A170" s="15" t="s">
        <v>909</v>
      </c>
      <c r="C170" s="15" t="s">
        <v>316</v>
      </c>
      <c r="D170" s="28"/>
      <c r="E170" s="24">
        <v>4568930</v>
      </c>
      <c r="G170" s="24">
        <v>21882</v>
      </c>
      <c r="I170" s="24">
        <v>148244</v>
      </c>
      <c r="K170" s="24">
        <v>48252</v>
      </c>
      <c r="M170" s="24">
        <v>136474</v>
      </c>
      <c r="O170" s="24">
        <v>258410</v>
      </c>
      <c r="Q170" s="24">
        <v>3717549</v>
      </c>
      <c r="S170" s="24">
        <v>1298523</v>
      </c>
      <c r="U170" s="24">
        <v>2000000</v>
      </c>
      <c r="W170" s="24">
        <v>40853</v>
      </c>
      <c r="Y170" s="24">
        <v>953000</v>
      </c>
      <c r="AA170" s="24">
        <v>0</v>
      </c>
      <c r="AC170" s="24">
        <v>0</v>
      </c>
      <c r="AE170" s="24">
        <f t="shared" si="6"/>
        <v>13192117</v>
      </c>
      <c r="AF170" s="24"/>
      <c r="AG170" s="24">
        <v>-50271</v>
      </c>
      <c r="AH170" s="24"/>
      <c r="AI170" s="24">
        <v>4002696</v>
      </c>
      <c r="AJ170" s="24"/>
      <c r="AK170" s="24">
        <v>3952425</v>
      </c>
      <c r="AL170" s="24">
        <f>+'Gov Rev'!AI170-'Gov Exp'!AE170+'Gov Exp'!AI170-'Gov Exp'!AK170</f>
        <v>0</v>
      </c>
      <c r="AM170" s="15" t="str">
        <f>'Gov Rev'!A170</f>
        <v>Cuyahoga Heights</v>
      </c>
      <c r="AN170" s="15" t="str">
        <f t="shared" si="7"/>
        <v>Cuyahoga Heights</v>
      </c>
      <c r="AO170" s="15" t="b">
        <f t="shared" si="8"/>
        <v>1</v>
      </c>
    </row>
    <row r="171" spans="1:41" ht="12" customHeight="1" x14ac:dyDescent="0.2">
      <c r="A171" s="1" t="s">
        <v>830</v>
      </c>
      <c r="B171" s="1"/>
      <c r="C171" s="1" t="s">
        <v>813</v>
      </c>
      <c r="E171" s="24">
        <v>29050.34</v>
      </c>
      <c r="G171" s="24">
        <v>0</v>
      </c>
      <c r="I171" s="24">
        <v>11940.86</v>
      </c>
      <c r="K171" s="24">
        <v>849.43</v>
      </c>
      <c r="M171" s="24">
        <v>192.13</v>
      </c>
      <c r="O171" s="24">
        <v>19298.53</v>
      </c>
      <c r="Q171" s="24">
        <v>137517.64000000001</v>
      </c>
      <c r="S171" s="24">
        <v>0</v>
      </c>
      <c r="U171" s="24">
        <v>0</v>
      </c>
      <c r="W171" s="24">
        <v>0</v>
      </c>
      <c r="Y171" s="24">
        <v>192.13</v>
      </c>
      <c r="AA171" s="24">
        <v>0</v>
      </c>
      <c r="AC171" s="24">
        <v>0</v>
      </c>
      <c r="AE171" s="24">
        <f t="shared" si="6"/>
        <v>199041.06</v>
      </c>
      <c r="AF171" s="24"/>
      <c r="AG171" s="24">
        <v>-27103.64</v>
      </c>
      <c r="AH171" s="24"/>
      <c r="AI171" s="24">
        <v>254293.6</v>
      </c>
      <c r="AJ171" s="24"/>
      <c r="AK171" s="24">
        <v>227189.96</v>
      </c>
      <c r="AL171" s="24">
        <f>+'Gov Rev'!AI171-'Gov Exp'!AE171+'Gov Exp'!AI171-'Gov Exp'!AK171</f>
        <v>0</v>
      </c>
      <c r="AM171" s="15" t="str">
        <f>'Gov Rev'!A171</f>
        <v>Cygnet</v>
      </c>
      <c r="AN171" s="15" t="str">
        <f t="shared" si="7"/>
        <v>Cygnet</v>
      </c>
      <c r="AO171" s="15" t="b">
        <f t="shared" si="8"/>
        <v>1</v>
      </c>
    </row>
    <row r="172" spans="1:41" s="29" customFormat="1" ht="12" customHeight="1" x14ac:dyDescent="0.2">
      <c r="A172" s="15" t="s">
        <v>591</v>
      </c>
      <c r="B172" s="15"/>
      <c r="C172" s="15" t="s">
        <v>588</v>
      </c>
      <c r="D172" s="15"/>
      <c r="E172" s="24">
        <v>322773</v>
      </c>
      <c r="F172" s="24"/>
      <c r="G172" s="24">
        <v>25961</v>
      </c>
      <c r="H172" s="24"/>
      <c r="I172" s="24">
        <v>7504</v>
      </c>
      <c r="J172" s="24"/>
      <c r="K172" s="24">
        <v>0</v>
      </c>
      <c r="L172" s="24"/>
      <c r="M172" s="24">
        <v>1725</v>
      </c>
      <c r="N172" s="24"/>
      <c r="O172" s="24">
        <v>160887</v>
      </c>
      <c r="P172" s="24"/>
      <c r="Q172" s="24">
        <v>102168</v>
      </c>
      <c r="R172" s="24"/>
      <c r="S172" s="24">
        <v>304697</v>
      </c>
      <c r="T172" s="24"/>
      <c r="U172" s="24">
        <v>214225</v>
      </c>
      <c r="V172" s="24"/>
      <c r="W172" s="24">
        <v>8297</v>
      </c>
      <c r="X172" s="24"/>
      <c r="Y172" s="24">
        <v>178569</v>
      </c>
      <c r="Z172" s="24"/>
      <c r="AA172" s="24">
        <v>0</v>
      </c>
      <c r="AB172" s="24"/>
      <c r="AC172" s="24">
        <v>70495</v>
      </c>
      <c r="AD172" s="24"/>
      <c r="AE172" s="24">
        <f t="shared" si="6"/>
        <v>1397301</v>
      </c>
      <c r="AF172" s="24"/>
      <c r="AG172" s="24">
        <v>69808</v>
      </c>
      <c r="AH172" s="24"/>
      <c r="AI172" s="24">
        <v>623335</v>
      </c>
      <c r="AJ172" s="24"/>
      <c r="AK172" s="24">
        <v>693144</v>
      </c>
      <c r="AL172" s="24">
        <f>+'Gov Rev'!AI172-'Gov Exp'!AE172+'Gov Exp'!AI172-'Gov Exp'!AK172</f>
        <v>0</v>
      </c>
      <c r="AM172" s="15" t="str">
        <f>'Gov Rev'!A172</f>
        <v>Dalton</v>
      </c>
      <c r="AN172" s="15" t="str">
        <f t="shared" si="7"/>
        <v>Dalton</v>
      </c>
      <c r="AO172" s="15" t="b">
        <f t="shared" si="8"/>
        <v>1</v>
      </c>
    </row>
    <row r="173" spans="1:41" ht="12" customHeight="1" x14ac:dyDescent="0.2">
      <c r="A173" s="1" t="s">
        <v>426</v>
      </c>
      <c r="B173" s="1"/>
      <c r="C173" s="1" t="s">
        <v>427</v>
      </c>
      <c r="E173" s="24">
        <v>144540.95000000001</v>
      </c>
      <c r="G173" s="24">
        <v>529.83000000000004</v>
      </c>
      <c r="I173" s="24">
        <v>22537.59</v>
      </c>
      <c r="K173" s="24">
        <v>3242.76</v>
      </c>
      <c r="M173" s="24">
        <v>0</v>
      </c>
      <c r="O173" s="24">
        <v>53983.61</v>
      </c>
      <c r="Q173" s="24">
        <v>120011.66</v>
      </c>
      <c r="S173" s="24">
        <v>163367</v>
      </c>
      <c r="U173" s="24">
        <v>135541.79999999999</v>
      </c>
      <c r="W173" s="24">
        <v>5934.23</v>
      </c>
      <c r="Y173" s="24">
        <v>136925.84</v>
      </c>
      <c r="AA173" s="24">
        <v>0</v>
      </c>
      <c r="AC173" s="24">
        <v>4242.95</v>
      </c>
      <c r="AE173" s="24">
        <f t="shared" si="6"/>
        <v>790858.21999999986</v>
      </c>
      <c r="AF173" s="24"/>
      <c r="AG173" s="24">
        <v>28944.76</v>
      </c>
      <c r="AH173" s="24"/>
      <c r="AI173" s="24">
        <v>312431.96000000002</v>
      </c>
      <c r="AJ173" s="24"/>
      <c r="AK173" s="24">
        <v>341376.72</v>
      </c>
      <c r="AL173" s="24">
        <f>+'Gov Rev'!AI173-'Gov Exp'!AE173+'Gov Exp'!AI173-'Gov Exp'!AK173</f>
        <v>0</v>
      </c>
      <c r="AM173" s="15" t="str">
        <f>'Gov Rev'!A173</f>
        <v>Danville</v>
      </c>
      <c r="AN173" s="15" t="str">
        <f t="shared" si="7"/>
        <v>Danville</v>
      </c>
      <c r="AO173" s="15" t="b">
        <f t="shared" si="8"/>
        <v>1</v>
      </c>
    </row>
    <row r="174" spans="1:41" s="31" customFormat="1" ht="12" customHeight="1" x14ac:dyDescent="0.2">
      <c r="A174" s="15" t="s">
        <v>959</v>
      </c>
      <c r="B174" s="15"/>
      <c r="C174" s="15" t="s">
        <v>793</v>
      </c>
      <c r="D174" s="15"/>
      <c r="E174" s="24">
        <v>2400</v>
      </c>
      <c r="F174" s="24"/>
      <c r="G174" s="24">
        <v>0</v>
      </c>
      <c r="H174" s="24"/>
      <c r="I174" s="24">
        <v>849</v>
      </c>
      <c r="J174" s="24"/>
      <c r="K174" s="24">
        <v>0</v>
      </c>
      <c r="L174" s="24"/>
      <c r="M174" s="24">
        <v>0</v>
      </c>
      <c r="N174" s="24"/>
      <c r="O174" s="24">
        <v>27700</v>
      </c>
      <c r="P174" s="24"/>
      <c r="Q174" s="24">
        <v>13725</v>
      </c>
      <c r="R174" s="24"/>
      <c r="S174" s="24">
        <v>0</v>
      </c>
      <c r="T174" s="24"/>
      <c r="U174" s="24">
        <v>0</v>
      </c>
      <c r="V174" s="24"/>
      <c r="W174" s="24">
        <v>0</v>
      </c>
      <c r="X174" s="24"/>
      <c r="Y174" s="24">
        <v>0</v>
      </c>
      <c r="Z174" s="24"/>
      <c r="AA174" s="24">
        <v>0</v>
      </c>
      <c r="AB174" s="24"/>
      <c r="AC174" s="24">
        <v>0</v>
      </c>
      <c r="AD174" s="24"/>
      <c r="AE174" s="24">
        <f t="shared" si="6"/>
        <v>44674</v>
      </c>
      <c r="AF174" s="24"/>
      <c r="AG174" s="24">
        <v>-15598</v>
      </c>
      <c r="AH174" s="24"/>
      <c r="AI174" s="24">
        <f>AK174-AG174</f>
        <v>64680</v>
      </c>
      <c r="AJ174" s="24"/>
      <c r="AK174" s="24">
        <v>49082</v>
      </c>
      <c r="AL174" s="24">
        <f>+'Gov Rev'!AI174-'Gov Exp'!AE174+'Gov Exp'!AI174-'Gov Exp'!AK174</f>
        <v>0</v>
      </c>
      <c r="AM174" s="15" t="str">
        <f>'Gov Rev'!A174</f>
        <v>Darbyville</v>
      </c>
      <c r="AN174" s="15" t="str">
        <f t="shared" si="7"/>
        <v>Darbyville</v>
      </c>
      <c r="AO174" s="15" t="b">
        <f t="shared" si="8"/>
        <v>1</v>
      </c>
    </row>
    <row r="175" spans="1:41" s="31" customFormat="1" ht="12" customHeight="1" x14ac:dyDescent="0.2">
      <c r="A175" s="15" t="s">
        <v>404</v>
      </c>
      <c r="B175" s="15"/>
      <c r="C175" s="15" t="s">
        <v>403</v>
      </c>
      <c r="D175" s="15"/>
      <c r="E175" s="24">
        <v>600</v>
      </c>
      <c r="F175" s="24"/>
      <c r="G175" s="24">
        <v>0</v>
      </c>
      <c r="H175" s="24"/>
      <c r="I175" s="24">
        <v>0</v>
      </c>
      <c r="J175" s="24"/>
      <c r="K175" s="24">
        <v>0</v>
      </c>
      <c r="L175" s="24"/>
      <c r="M175" s="24">
        <v>1089</v>
      </c>
      <c r="N175" s="24"/>
      <c r="O175" s="24">
        <v>0</v>
      </c>
      <c r="P175" s="24"/>
      <c r="Q175" s="24">
        <f>12223-1</f>
        <v>12222</v>
      </c>
      <c r="R175" s="24"/>
      <c r="S175" s="24">
        <v>2267</v>
      </c>
      <c r="T175" s="24"/>
      <c r="U175" s="24">
        <v>0</v>
      </c>
      <c r="V175" s="24"/>
      <c r="W175" s="24">
        <v>0</v>
      </c>
      <c r="X175" s="24"/>
      <c r="Y175" s="24">
        <v>0</v>
      </c>
      <c r="Z175" s="24"/>
      <c r="AA175" s="24">
        <v>0</v>
      </c>
      <c r="AB175" s="24"/>
      <c r="AC175" s="24">
        <v>0</v>
      </c>
      <c r="AD175" s="24"/>
      <c r="AE175" s="24">
        <f t="shared" si="6"/>
        <v>16178</v>
      </c>
      <c r="AF175" s="24"/>
      <c r="AG175" s="24">
        <v>4456</v>
      </c>
      <c r="AH175" s="24"/>
      <c r="AI175" s="24">
        <v>26669</v>
      </c>
      <c r="AJ175" s="24"/>
      <c r="AK175" s="24">
        <v>31126</v>
      </c>
      <c r="AL175" s="24">
        <f>+'Gov Rev'!AI175-'Gov Exp'!AE175+'Gov Exp'!AI175-'Gov Exp'!AK175</f>
        <v>0</v>
      </c>
      <c r="AM175" s="15" t="str">
        <f>'Gov Rev'!A175</f>
        <v>Deersville</v>
      </c>
      <c r="AN175" s="15" t="str">
        <f t="shared" si="7"/>
        <v>Deersville</v>
      </c>
      <c r="AO175" s="15" t="b">
        <f t="shared" si="8"/>
        <v>1</v>
      </c>
    </row>
    <row r="176" spans="1:41" s="31" customFormat="1" ht="12" customHeight="1" x14ac:dyDescent="0.2">
      <c r="A176" s="1" t="s">
        <v>445</v>
      </c>
      <c r="B176" s="1"/>
      <c r="C176" s="1" t="s">
        <v>446</v>
      </c>
      <c r="D176" s="15"/>
      <c r="E176" s="24">
        <v>103520.24</v>
      </c>
      <c r="F176" s="24"/>
      <c r="G176" s="24">
        <v>11100.86</v>
      </c>
      <c r="H176" s="24"/>
      <c r="I176" s="24">
        <v>3653.32</v>
      </c>
      <c r="J176" s="24"/>
      <c r="K176" s="24">
        <v>4627.05</v>
      </c>
      <c r="L176" s="24"/>
      <c r="M176" s="24">
        <v>0</v>
      </c>
      <c r="N176" s="24"/>
      <c r="O176" s="24">
        <v>127981.95</v>
      </c>
      <c r="P176" s="24"/>
      <c r="Q176" s="24">
        <v>116602.61</v>
      </c>
      <c r="R176" s="24"/>
      <c r="S176" s="24">
        <v>20618.849999999999</v>
      </c>
      <c r="T176" s="24"/>
      <c r="U176" s="24">
        <v>1333.33</v>
      </c>
      <c r="V176" s="24"/>
      <c r="W176" s="24">
        <v>958.38</v>
      </c>
      <c r="X176" s="24"/>
      <c r="Y176" s="24">
        <v>21058</v>
      </c>
      <c r="Z176" s="24"/>
      <c r="AA176" s="24">
        <v>0</v>
      </c>
      <c r="AB176" s="24"/>
      <c r="AC176" s="24">
        <v>0</v>
      </c>
      <c r="AD176" s="24"/>
      <c r="AE176" s="24">
        <f t="shared" si="6"/>
        <v>411454.59</v>
      </c>
      <c r="AF176" s="24"/>
      <c r="AG176" s="24">
        <v>-12499.6</v>
      </c>
      <c r="AH176" s="24"/>
      <c r="AI176" s="24">
        <v>106930.46</v>
      </c>
      <c r="AJ176" s="24"/>
      <c r="AK176" s="24">
        <v>94430.86</v>
      </c>
      <c r="AL176" s="24">
        <f>+'Gov Rev'!AI176-'Gov Exp'!AE176+'Gov Exp'!AI176-'Gov Exp'!AK176</f>
        <v>0</v>
      </c>
      <c r="AM176" s="15" t="str">
        <f>'Gov Rev'!A176</f>
        <v>DeGraff</v>
      </c>
      <c r="AN176" s="15" t="str">
        <f t="shared" si="7"/>
        <v>DeGraff</v>
      </c>
      <c r="AO176" s="15" t="b">
        <f t="shared" si="8"/>
        <v>1</v>
      </c>
    </row>
    <row r="177" spans="1:41" s="31" customFormat="1" ht="12" customHeight="1" x14ac:dyDescent="0.2">
      <c r="A177" s="1" t="s">
        <v>28</v>
      </c>
      <c r="B177" s="1"/>
      <c r="C177" s="1" t="s">
        <v>744</v>
      </c>
      <c r="D177" s="24"/>
      <c r="E177" s="24">
        <v>18864.12</v>
      </c>
      <c r="F177" s="24"/>
      <c r="G177" s="24">
        <v>2100</v>
      </c>
      <c r="H177" s="24"/>
      <c r="I177" s="24">
        <v>0</v>
      </c>
      <c r="J177" s="24"/>
      <c r="K177" s="24">
        <v>383.4</v>
      </c>
      <c r="L177" s="24"/>
      <c r="M177" s="24">
        <v>0</v>
      </c>
      <c r="N177" s="24"/>
      <c r="O177" s="24">
        <v>12140.67</v>
      </c>
      <c r="P177" s="24"/>
      <c r="Q177" s="24">
        <v>42002.93</v>
      </c>
      <c r="R177" s="24"/>
      <c r="S177" s="24">
        <v>37317.43</v>
      </c>
      <c r="T177" s="24"/>
      <c r="U177" s="24">
        <v>4979.8500000000004</v>
      </c>
      <c r="V177" s="24"/>
      <c r="W177" s="24">
        <v>361.11</v>
      </c>
      <c r="X177" s="24"/>
      <c r="Y177" s="24">
        <v>0</v>
      </c>
      <c r="Z177" s="24"/>
      <c r="AA177" s="24">
        <v>0</v>
      </c>
      <c r="AB177" s="24"/>
      <c r="AC177" s="24">
        <v>0</v>
      </c>
      <c r="AD177" s="24"/>
      <c r="AE177" s="24">
        <f t="shared" si="6"/>
        <v>118149.51</v>
      </c>
      <c r="AF177" s="24"/>
      <c r="AG177" s="24">
        <v>-13632</v>
      </c>
      <c r="AH177" s="24"/>
      <c r="AI177" s="24">
        <v>66685.289999999994</v>
      </c>
      <c r="AJ177" s="24"/>
      <c r="AK177" s="24">
        <v>53053.29</v>
      </c>
      <c r="AL177" s="24">
        <f>+'Gov Rev'!AI177-'Gov Exp'!AE177+'Gov Exp'!AI177-'Gov Exp'!AK177</f>
        <v>0</v>
      </c>
      <c r="AM177" s="15" t="str">
        <f>'Gov Rev'!A177</f>
        <v>Dellroy</v>
      </c>
      <c r="AN177" s="15" t="str">
        <f t="shared" si="7"/>
        <v>Dellroy</v>
      </c>
      <c r="AO177" s="15" t="b">
        <f t="shared" si="8"/>
        <v>1</v>
      </c>
    </row>
    <row r="178" spans="1:41" ht="12" customHeight="1" x14ac:dyDescent="0.2">
      <c r="A178" s="15" t="s">
        <v>359</v>
      </c>
      <c r="C178" s="15" t="s">
        <v>358</v>
      </c>
      <c r="E178" s="24">
        <v>660675</v>
      </c>
      <c r="G178" s="24">
        <v>39017</v>
      </c>
      <c r="I178" s="24">
        <v>146021</v>
      </c>
      <c r="K178" s="24">
        <v>3951</v>
      </c>
      <c r="M178" s="24">
        <v>70776</v>
      </c>
      <c r="O178" s="24">
        <v>277784</v>
      </c>
      <c r="Q178" s="24">
        <v>226512</v>
      </c>
      <c r="S178" s="24">
        <v>20785</v>
      </c>
      <c r="U178" s="24">
        <v>0</v>
      </c>
      <c r="W178" s="24">
        <v>0</v>
      </c>
      <c r="Y178" s="24">
        <v>0</v>
      </c>
      <c r="AA178" s="24">
        <v>0</v>
      </c>
      <c r="AC178" s="24">
        <v>0</v>
      </c>
      <c r="AE178" s="24">
        <f t="shared" si="6"/>
        <v>1445521</v>
      </c>
      <c r="AF178" s="24"/>
      <c r="AG178" s="24">
        <v>-69630</v>
      </c>
      <c r="AH178" s="24"/>
      <c r="AI178" s="24">
        <v>992365</v>
      </c>
      <c r="AJ178" s="24"/>
      <c r="AK178" s="24">
        <v>922735</v>
      </c>
      <c r="AL178" s="24">
        <f>+'Gov Rev'!AI178-'Gov Exp'!AE178+'Gov Exp'!AI178-'Gov Exp'!AK178</f>
        <v>0</v>
      </c>
      <c r="AM178" s="15" t="str">
        <f>'Gov Rev'!A178</f>
        <v>Delta</v>
      </c>
      <c r="AN178" s="15" t="str">
        <f t="shared" si="7"/>
        <v>Delta</v>
      </c>
      <c r="AO178" s="15" t="b">
        <f t="shared" si="8"/>
        <v>1</v>
      </c>
    </row>
    <row r="179" spans="1:41" ht="12" customHeight="1" x14ac:dyDescent="0.2">
      <c r="A179" s="1" t="s">
        <v>232</v>
      </c>
      <c r="B179" s="1"/>
      <c r="C179" s="1" t="s">
        <v>806</v>
      </c>
      <c r="E179" s="24">
        <v>594580.98</v>
      </c>
      <c r="G179" s="24">
        <v>42907.18</v>
      </c>
      <c r="I179" s="24">
        <v>52120.1</v>
      </c>
      <c r="K179" s="24">
        <v>13847.3</v>
      </c>
      <c r="M179" s="24">
        <v>22301.29</v>
      </c>
      <c r="O179" s="24">
        <v>191642.9</v>
      </c>
      <c r="Q179" s="24">
        <v>238679.14</v>
      </c>
      <c r="S179" s="24">
        <v>30963.200000000001</v>
      </c>
      <c r="U179" s="24">
        <v>191294.68</v>
      </c>
      <c r="W179" s="24">
        <v>8679.82</v>
      </c>
      <c r="Y179" s="24">
        <v>0</v>
      </c>
      <c r="AA179" s="24">
        <v>0</v>
      </c>
      <c r="AC179" s="24">
        <v>0</v>
      </c>
      <c r="AE179" s="24">
        <f t="shared" si="6"/>
        <v>1387016.59</v>
      </c>
      <c r="AF179" s="24"/>
      <c r="AG179" s="24">
        <v>74622.23</v>
      </c>
      <c r="AH179" s="24"/>
      <c r="AI179" s="24">
        <v>612002.62</v>
      </c>
      <c r="AJ179" s="24"/>
      <c r="AK179" s="24">
        <v>686624.85</v>
      </c>
      <c r="AL179" s="24">
        <f>+'Gov Rev'!AI179-'Gov Exp'!AE179+'Gov Exp'!AI179-'Gov Exp'!AK179</f>
        <v>0</v>
      </c>
      <c r="AM179" s="15" t="str">
        <f>'Gov Rev'!A179</f>
        <v>Dennison</v>
      </c>
      <c r="AN179" s="15" t="str">
        <f t="shared" si="7"/>
        <v>Dennison</v>
      </c>
      <c r="AO179" s="15" t="b">
        <f t="shared" si="8"/>
        <v>1</v>
      </c>
    </row>
    <row r="180" spans="1:41" ht="12" customHeight="1" x14ac:dyDescent="0.2">
      <c r="A180" s="1" t="s">
        <v>104</v>
      </c>
      <c r="B180" s="1"/>
      <c r="C180" s="1" t="s">
        <v>766</v>
      </c>
      <c r="E180" s="24">
        <v>165807.76999999999</v>
      </c>
      <c r="G180" s="24">
        <v>6000</v>
      </c>
      <c r="I180" s="24">
        <v>12211.69</v>
      </c>
      <c r="K180" s="24">
        <v>7317.28</v>
      </c>
      <c r="M180" s="24">
        <v>1344.45</v>
      </c>
      <c r="O180" s="24">
        <v>79647.05</v>
      </c>
      <c r="Q180" s="24">
        <v>132311.01</v>
      </c>
      <c r="S180" s="24">
        <v>880569.1</v>
      </c>
      <c r="U180" s="24">
        <v>0</v>
      </c>
      <c r="W180" s="24">
        <v>0</v>
      </c>
      <c r="Y180" s="24">
        <v>386198.67</v>
      </c>
      <c r="AA180" s="24">
        <v>0</v>
      </c>
      <c r="AC180" s="24">
        <v>0</v>
      </c>
      <c r="AE180" s="24">
        <f t="shared" si="6"/>
        <v>1671407.02</v>
      </c>
      <c r="AF180" s="24"/>
      <c r="AG180" s="24">
        <v>-223895.09</v>
      </c>
      <c r="AH180" s="24"/>
      <c r="AI180" s="24">
        <v>537328.62</v>
      </c>
      <c r="AJ180" s="24"/>
      <c r="AK180" s="24">
        <v>313433.53000000003</v>
      </c>
      <c r="AL180" s="24">
        <f>+'Gov Rev'!AI180-'Gov Exp'!AE180+'Gov Exp'!AI180-'Gov Exp'!AK180</f>
        <v>0</v>
      </c>
      <c r="AM180" s="15" t="str">
        <f>'Gov Rev'!A180</f>
        <v>Deshler</v>
      </c>
      <c r="AN180" s="15" t="str">
        <f t="shared" si="7"/>
        <v>Deshler</v>
      </c>
      <c r="AO180" s="15" t="b">
        <f t="shared" si="8"/>
        <v>1</v>
      </c>
    </row>
    <row r="181" spans="1:41" s="31" customFormat="1" ht="12" hidden="1" customHeight="1" x14ac:dyDescent="0.2">
      <c r="A181" s="1" t="s">
        <v>492</v>
      </c>
      <c r="B181" s="1"/>
      <c r="C181" s="1" t="s">
        <v>490</v>
      </c>
      <c r="D181" s="15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>
        <f t="shared" si="6"/>
        <v>0</v>
      </c>
      <c r="AF181" s="24"/>
      <c r="AG181" s="24"/>
      <c r="AH181" s="24"/>
      <c r="AI181" s="24"/>
      <c r="AJ181" s="24"/>
      <c r="AK181" s="24"/>
      <c r="AL181" s="24">
        <f>+'Gov Rev'!AI181-'Gov Exp'!AE181+'Gov Exp'!AI181-'Gov Exp'!AK181</f>
        <v>0</v>
      </c>
      <c r="AM181" s="15" t="str">
        <f>'Gov Rev'!A181</f>
        <v>Dexter City</v>
      </c>
      <c r="AN181" s="15" t="str">
        <f t="shared" si="7"/>
        <v>Dexter City</v>
      </c>
      <c r="AO181" s="15" t="b">
        <f t="shared" si="8"/>
        <v>1</v>
      </c>
    </row>
    <row r="182" spans="1:41" ht="12" customHeight="1" x14ac:dyDescent="0.2">
      <c r="A182" s="1" t="s">
        <v>116</v>
      </c>
      <c r="B182" s="1"/>
      <c r="C182" s="1" t="s">
        <v>770</v>
      </c>
      <c r="E182" s="24">
        <v>38405.86</v>
      </c>
      <c r="G182" s="24">
        <v>15113.35</v>
      </c>
      <c r="I182" s="24">
        <v>11174.55</v>
      </c>
      <c r="K182" s="24">
        <v>179.64</v>
      </c>
      <c r="M182" s="24">
        <v>0</v>
      </c>
      <c r="O182" s="24">
        <v>40576.480000000003</v>
      </c>
      <c r="Q182" s="24">
        <v>46943.37</v>
      </c>
      <c r="S182" s="24">
        <v>99994.04</v>
      </c>
      <c r="U182" s="24">
        <v>1847.06</v>
      </c>
      <c r="W182" s="24">
        <v>376.63</v>
      </c>
      <c r="Y182" s="24">
        <v>948.57</v>
      </c>
      <c r="AA182" s="24">
        <v>8250</v>
      </c>
      <c r="AC182" s="24">
        <v>0</v>
      </c>
      <c r="AE182" s="24">
        <f t="shared" si="6"/>
        <v>263809.55</v>
      </c>
      <c r="AF182" s="24"/>
      <c r="AG182" s="24">
        <v>252731.16</v>
      </c>
      <c r="AH182" s="24"/>
      <c r="AI182" s="24">
        <v>43613.69</v>
      </c>
      <c r="AJ182" s="24"/>
      <c r="AK182" s="24">
        <v>296344.84999999998</v>
      </c>
      <c r="AL182" s="24">
        <f>+'Gov Rev'!AI182-'Gov Exp'!AE182+'Gov Exp'!AI182-'Gov Exp'!AK182</f>
        <v>0</v>
      </c>
      <c r="AM182" s="15" t="str">
        <f>'Gov Rev'!A182</f>
        <v>Dillonvale</v>
      </c>
      <c r="AN182" s="15" t="str">
        <f t="shared" si="7"/>
        <v>Dillonvale</v>
      </c>
      <c r="AO182" s="15" t="b">
        <f t="shared" si="8"/>
        <v>1</v>
      </c>
    </row>
    <row r="183" spans="1:41" ht="12" customHeight="1" x14ac:dyDescent="0.2">
      <c r="A183" s="1" t="s">
        <v>816</v>
      </c>
      <c r="B183" s="1"/>
      <c r="C183" s="1" t="s">
        <v>292</v>
      </c>
      <c r="E183" s="24">
        <v>15916.79</v>
      </c>
      <c r="G183" s="24">
        <v>0</v>
      </c>
      <c r="I183" s="24">
        <v>0</v>
      </c>
      <c r="K183" s="24">
        <v>0</v>
      </c>
      <c r="M183" s="24">
        <v>1800</v>
      </c>
      <c r="O183" s="24">
        <v>33206.75</v>
      </c>
      <c r="Q183" s="24">
        <v>35162.67</v>
      </c>
      <c r="S183" s="24">
        <v>0</v>
      </c>
      <c r="U183" s="24">
        <v>0</v>
      </c>
      <c r="W183" s="24">
        <v>0</v>
      </c>
      <c r="Y183" s="24">
        <v>0</v>
      </c>
      <c r="AA183" s="24">
        <v>0</v>
      </c>
      <c r="AC183" s="24">
        <v>0</v>
      </c>
      <c r="AE183" s="24">
        <f t="shared" si="6"/>
        <v>86086.209999999992</v>
      </c>
      <c r="AF183" s="24"/>
      <c r="AG183" s="24">
        <v>-10018.91</v>
      </c>
      <c r="AH183" s="24"/>
      <c r="AI183" s="24">
        <v>219159.12</v>
      </c>
      <c r="AJ183" s="24"/>
      <c r="AK183" s="24">
        <v>209140.21</v>
      </c>
      <c r="AL183" s="24">
        <f>+'Gov Rev'!AI183-'Gov Exp'!AE183+'Gov Exp'!AI183-'Gov Exp'!AK183</f>
        <v>0</v>
      </c>
      <c r="AM183" s="15" t="str">
        <f>'Gov Rev'!A183</f>
        <v>Donnelsville</v>
      </c>
      <c r="AN183" s="15" t="str">
        <f t="shared" si="7"/>
        <v>Donnelsville</v>
      </c>
      <c r="AO183" s="15" t="b">
        <f t="shared" si="8"/>
        <v>1</v>
      </c>
    </row>
    <row r="184" spans="1:41" ht="12" customHeight="1" x14ac:dyDescent="0.2">
      <c r="A184" s="1" t="s">
        <v>592</v>
      </c>
      <c r="B184" s="1"/>
      <c r="C184" s="1" t="s">
        <v>588</v>
      </c>
      <c r="E184" s="24">
        <v>586063.69999999995</v>
      </c>
      <c r="G184" s="24">
        <v>25725.24</v>
      </c>
      <c r="I184" s="24">
        <v>74336.63</v>
      </c>
      <c r="K184" s="24">
        <v>41385.199999999997</v>
      </c>
      <c r="M184" s="24">
        <v>0</v>
      </c>
      <c r="O184" s="24">
        <v>330716.84000000003</v>
      </c>
      <c r="Q184" s="24">
        <v>308668.90999999997</v>
      </c>
      <c r="S184" s="24">
        <v>176137.61</v>
      </c>
      <c r="U184" s="24">
        <v>45717.34</v>
      </c>
      <c r="W184" s="24">
        <v>18316.28</v>
      </c>
      <c r="Y184" s="24">
        <v>136700</v>
      </c>
      <c r="AA184" s="24">
        <v>0</v>
      </c>
      <c r="AC184" s="24">
        <v>0</v>
      </c>
      <c r="AE184" s="24">
        <f t="shared" si="6"/>
        <v>1743767.75</v>
      </c>
      <c r="AF184" s="24"/>
      <c r="AG184" s="24">
        <v>-125839.5</v>
      </c>
      <c r="AH184" s="24"/>
      <c r="AI184" s="24">
        <v>1511582.84</v>
      </c>
      <c r="AJ184" s="24"/>
      <c r="AK184" s="24">
        <v>1385743.34</v>
      </c>
      <c r="AL184" s="24">
        <f>+'Gov Rev'!AI184-'Gov Exp'!AE184+'Gov Exp'!AI184-'Gov Exp'!AK184</f>
        <v>0</v>
      </c>
      <c r="AM184" s="15" t="str">
        <f>'Gov Rev'!A184</f>
        <v>Doylestown</v>
      </c>
      <c r="AN184" s="15" t="str">
        <f t="shared" si="7"/>
        <v>Doylestown</v>
      </c>
      <c r="AO184" s="15" t="b">
        <f t="shared" si="8"/>
        <v>1</v>
      </c>
    </row>
    <row r="185" spans="1:41" s="31" customFormat="1" ht="12" customHeight="1" x14ac:dyDescent="0.2">
      <c r="A185" s="1" t="s">
        <v>174</v>
      </c>
      <c r="B185" s="1"/>
      <c r="C185" s="1" t="s">
        <v>789</v>
      </c>
      <c r="D185" s="15"/>
      <c r="E185" s="24">
        <v>239487.82</v>
      </c>
      <c r="F185" s="24"/>
      <c r="G185" s="24">
        <v>26486.67</v>
      </c>
      <c r="H185" s="24"/>
      <c r="I185" s="24">
        <v>0</v>
      </c>
      <c r="J185" s="24"/>
      <c r="K185" s="24">
        <v>0</v>
      </c>
      <c r="L185" s="24"/>
      <c r="M185" s="24">
        <v>0</v>
      </c>
      <c r="N185" s="24"/>
      <c r="O185" s="24">
        <v>162995.12</v>
      </c>
      <c r="P185" s="24"/>
      <c r="Q185" s="24">
        <v>127073.59</v>
      </c>
      <c r="R185" s="24"/>
      <c r="S185" s="24">
        <v>3250</v>
      </c>
      <c r="T185" s="24"/>
      <c r="U185" s="24">
        <v>98445.13</v>
      </c>
      <c r="V185" s="24"/>
      <c r="W185" s="24">
        <v>35549.910000000003</v>
      </c>
      <c r="X185" s="24"/>
      <c r="Y185" s="24">
        <v>229702.41</v>
      </c>
      <c r="Z185" s="24"/>
      <c r="AA185" s="24">
        <v>0</v>
      </c>
      <c r="AB185" s="24"/>
      <c r="AC185" s="24">
        <v>936</v>
      </c>
      <c r="AD185" s="24"/>
      <c r="AE185" s="24">
        <f t="shared" si="6"/>
        <v>923926.65</v>
      </c>
      <c r="AF185" s="24"/>
      <c r="AG185" s="24">
        <v>-10146.08</v>
      </c>
      <c r="AH185" s="24"/>
      <c r="AI185" s="24">
        <v>66364.97</v>
      </c>
      <c r="AJ185" s="24"/>
      <c r="AK185" s="24">
        <v>56218.89</v>
      </c>
      <c r="AL185" s="24">
        <f>+'Gov Rev'!AI185-'Gov Exp'!AE185+'Gov Exp'!AI185-'Gov Exp'!AK185</f>
        <v>-7.2759576141834259E-11</v>
      </c>
      <c r="AM185" s="15" t="str">
        <f>'Gov Rev'!A185</f>
        <v>Dresden</v>
      </c>
      <c r="AN185" s="15" t="str">
        <f t="shared" si="7"/>
        <v>Dresden</v>
      </c>
      <c r="AO185" s="15" t="b">
        <f t="shared" si="8"/>
        <v>1</v>
      </c>
    </row>
    <row r="186" spans="1:41" s="31" customFormat="1" ht="12" customHeight="1" x14ac:dyDescent="0.2">
      <c r="A186" s="1" t="s">
        <v>397</v>
      </c>
      <c r="B186" s="1"/>
      <c r="C186" s="1" t="s">
        <v>396</v>
      </c>
      <c r="D186" s="15"/>
      <c r="E186" s="24">
        <v>12197.31</v>
      </c>
      <c r="F186" s="24"/>
      <c r="G186" s="24">
        <v>6639.75</v>
      </c>
      <c r="H186" s="24"/>
      <c r="I186" s="24">
        <v>123433.45</v>
      </c>
      <c r="J186" s="24"/>
      <c r="K186" s="24">
        <v>6511.89</v>
      </c>
      <c r="L186" s="24"/>
      <c r="M186" s="24">
        <v>73133.62</v>
      </c>
      <c r="N186" s="24"/>
      <c r="O186" s="24">
        <v>52767.13</v>
      </c>
      <c r="P186" s="24"/>
      <c r="Q186" s="24">
        <v>87379.36</v>
      </c>
      <c r="R186" s="24"/>
      <c r="S186" s="24">
        <v>0</v>
      </c>
      <c r="T186" s="24"/>
      <c r="U186" s="24">
        <v>0</v>
      </c>
      <c r="V186" s="24"/>
      <c r="W186" s="24">
        <v>0</v>
      </c>
      <c r="X186" s="24"/>
      <c r="Y186" s="24">
        <v>0</v>
      </c>
      <c r="Z186" s="24"/>
      <c r="AA186" s="24">
        <v>0</v>
      </c>
      <c r="AB186" s="24"/>
      <c r="AC186" s="24">
        <v>53.21</v>
      </c>
      <c r="AD186" s="24"/>
      <c r="AE186" s="24">
        <f t="shared" si="6"/>
        <v>362115.72000000003</v>
      </c>
      <c r="AF186" s="24"/>
      <c r="AG186" s="24">
        <v>-5334.66</v>
      </c>
      <c r="AH186" s="24"/>
      <c r="AI186" s="24">
        <v>187988.85</v>
      </c>
      <c r="AJ186" s="24"/>
      <c r="AK186" s="24">
        <v>182654.19</v>
      </c>
      <c r="AL186" s="24">
        <f>+'Gov Rev'!AI186-'Gov Exp'!AE186+'Gov Exp'!AI186-'Gov Exp'!AK186</f>
        <v>0</v>
      </c>
      <c r="AM186" s="15" t="str">
        <f>'Gov Rev'!A186</f>
        <v>Dunkirk</v>
      </c>
      <c r="AN186" s="15" t="str">
        <f t="shared" si="7"/>
        <v>Dunkirk</v>
      </c>
      <c r="AO186" s="15" t="b">
        <f t="shared" si="8"/>
        <v>1</v>
      </c>
    </row>
    <row r="187" spans="1:41" s="31" customFormat="1" ht="12" customHeight="1" x14ac:dyDescent="0.2">
      <c r="A187" s="1" t="s">
        <v>203</v>
      </c>
      <c r="B187" s="1"/>
      <c r="C187" s="1" t="s">
        <v>797</v>
      </c>
      <c r="D187" s="15"/>
      <c r="E187" s="24">
        <v>4902.96</v>
      </c>
      <c r="F187" s="24"/>
      <c r="G187" s="24">
        <v>474.76</v>
      </c>
      <c r="H187" s="24"/>
      <c r="I187" s="24">
        <v>922.08</v>
      </c>
      <c r="J187" s="24"/>
      <c r="K187" s="24">
        <v>0</v>
      </c>
      <c r="L187" s="24"/>
      <c r="M187" s="24">
        <v>565.88</v>
      </c>
      <c r="N187" s="24"/>
      <c r="O187" s="24">
        <v>1120.25</v>
      </c>
      <c r="P187" s="24"/>
      <c r="Q187" s="24">
        <v>46614.64</v>
      </c>
      <c r="R187" s="24"/>
      <c r="S187" s="24">
        <v>0</v>
      </c>
      <c r="T187" s="24"/>
      <c r="U187" s="24">
        <v>0</v>
      </c>
      <c r="V187" s="24"/>
      <c r="W187" s="24">
        <v>0</v>
      </c>
      <c r="X187" s="24"/>
      <c r="Y187" s="24">
        <v>0</v>
      </c>
      <c r="Z187" s="24"/>
      <c r="AA187" s="24">
        <v>0</v>
      </c>
      <c r="AB187" s="24"/>
      <c r="AC187" s="24">
        <v>0</v>
      </c>
      <c r="AD187" s="24"/>
      <c r="AE187" s="24">
        <f t="shared" si="6"/>
        <v>54600.57</v>
      </c>
      <c r="AF187" s="24"/>
      <c r="AG187" s="24">
        <v>13711.56</v>
      </c>
      <c r="AH187" s="24"/>
      <c r="AI187" s="24">
        <v>123489.43</v>
      </c>
      <c r="AJ187" s="24"/>
      <c r="AK187" s="24">
        <v>137200.99</v>
      </c>
      <c r="AL187" s="24">
        <f>+'Gov Rev'!AI187-'Gov Exp'!AE187+'Gov Exp'!AI187-'Gov Exp'!AK187</f>
        <v>0</v>
      </c>
      <c r="AM187" s="15" t="str">
        <f>'Gov Rev'!A187</f>
        <v>Dupont</v>
      </c>
      <c r="AN187" s="15" t="str">
        <f t="shared" si="7"/>
        <v>Dupont</v>
      </c>
      <c r="AO187" s="15" t="b">
        <f t="shared" si="8"/>
        <v>1</v>
      </c>
    </row>
    <row r="188" spans="1:41" s="31" customFormat="1" ht="12" customHeight="1" x14ac:dyDescent="0.2">
      <c r="A188" s="1" t="s">
        <v>542</v>
      </c>
      <c r="B188" s="1"/>
      <c r="C188" s="1" t="s">
        <v>540</v>
      </c>
      <c r="D188" s="15"/>
      <c r="E188" s="24">
        <v>248783.32</v>
      </c>
      <c r="F188" s="24"/>
      <c r="G188" s="24">
        <v>6294</v>
      </c>
      <c r="H188" s="24"/>
      <c r="I188" s="24">
        <v>10750.57</v>
      </c>
      <c r="J188" s="24"/>
      <c r="K188" s="24">
        <v>2900.78</v>
      </c>
      <c r="L188" s="24"/>
      <c r="M188" s="24">
        <v>0</v>
      </c>
      <c r="N188" s="24"/>
      <c r="O188" s="24">
        <v>222814.41</v>
      </c>
      <c r="P188" s="24"/>
      <c r="Q188" s="24">
        <v>239844.38</v>
      </c>
      <c r="R188" s="24"/>
      <c r="S188" s="24">
        <v>46843.93</v>
      </c>
      <c r="T188" s="24"/>
      <c r="U188" s="24">
        <v>2708.94</v>
      </c>
      <c r="V188" s="24"/>
      <c r="W188" s="24">
        <v>0</v>
      </c>
      <c r="X188" s="24"/>
      <c r="Y188" s="24">
        <v>10000</v>
      </c>
      <c r="Z188" s="24"/>
      <c r="AA188" s="24">
        <v>0</v>
      </c>
      <c r="AB188" s="24"/>
      <c r="AC188" s="24">
        <v>0</v>
      </c>
      <c r="AD188" s="24"/>
      <c r="AE188" s="24">
        <f t="shared" si="6"/>
        <v>790940.33000000007</v>
      </c>
      <c r="AF188" s="24"/>
      <c r="AG188" s="24">
        <v>-61129.05</v>
      </c>
      <c r="AH188" s="24"/>
      <c r="AI188" s="24">
        <v>770027.3</v>
      </c>
      <c r="AJ188" s="24"/>
      <c r="AK188" s="24">
        <v>708898.25</v>
      </c>
      <c r="AL188" s="24">
        <f>+'Gov Rev'!AI188-'Gov Exp'!AE188+'Gov Exp'!AI188-'Gov Exp'!AK188</f>
        <v>0</v>
      </c>
      <c r="AM188" s="15" t="str">
        <f>'Gov Rev'!A188</f>
        <v>East Canton</v>
      </c>
      <c r="AN188" s="15" t="str">
        <f t="shared" si="7"/>
        <v>East Canton</v>
      </c>
      <c r="AO188" s="15" t="b">
        <f t="shared" si="8"/>
        <v>1</v>
      </c>
    </row>
    <row r="189" spans="1:41" s="31" customFormat="1" ht="12" customHeight="1" x14ac:dyDescent="0.2">
      <c r="A189" s="24" t="s">
        <v>944</v>
      </c>
      <c r="B189" s="24"/>
      <c r="C189" s="24" t="s">
        <v>305</v>
      </c>
      <c r="D189" s="24"/>
      <c r="E189" s="24">
        <v>1006190</v>
      </c>
      <c r="F189" s="24"/>
      <c r="G189" s="24">
        <v>32446</v>
      </c>
      <c r="H189" s="24"/>
      <c r="I189" s="24">
        <v>226004</v>
      </c>
      <c r="J189" s="24"/>
      <c r="K189" s="24">
        <v>170434</v>
      </c>
      <c r="L189" s="24"/>
      <c r="M189" s="24">
        <v>0</v>
      </c>
      <c r="N189" s="24"/>
      <c r="O189" s="24">
        <v>229956</v>
      </c>
      <c r="P189" s="24"/>
      <c r="Q189" s="24">
        <v>449269</v>
      </c>
      <c r="R189" s="24"/>
      <c r="S189" s="24">
        <v>1018810</v>
      </c>
      <c r="T189" s="24"/>
      <c r="U189" s="24">
        <v>285644</v>
      </c>
      <c r="V189" s="24"/>
      <c r="W189" s="24">
        <v>30881</v>
      </c>
      <c r="X189" s="24"/>
      <c r="Y189" s="24">
        <v>103943</v>
      </c>
      <c r="Z189" s="24"/>
      <c r="AA189" s="24">
        <v>0</v>
      </c>
      <c r="AB189" s="24"/>
      <c r="AC189" s="24">
        <v>0</v>
      </c>
      <c r="AD189" s="24"/>
      <c r="AE189" s="24">
        <f t="shared" si="6"/>
        <v>3553577</v>
      </c>
      <c r="AF189" s="24"/>
      <c r="AG189" s="24">
        <v>-85910</v>
      </c>
      <c r="AH189" s="24"/>
      <c r="AI189" s="24">
        <f>AK189+85910</f>
        <v>1024801</v>
      </c>
      <c r="AJ189" s="24"/>
      <c r="AK189" s="24">
        <v>938891</v>
      </c>
      <c r="AL189" s="24">
        <f>+'Gov Rev'!AI189-'Gov Exp'!AE189+'Gov Exp'!AI189-'Gov Exp'!AK189</f>
        <v>0</v>
      </c>
      <c r="AM189" s="15" t="str">
        <f>'Gov Rev'!A189</f>
        <v>East Palestine</v>
      </c>
      <c r="AN189" s="15" t="str">
        <f t="shared" si="7"/>
        <v>East Palestine</v>
      </c>
      <c r="AO189" s="15" t="b">
        <f t="shared" si="8"/>
        <v>1</v>
      </c>
    </row>
    <row r="190" spans="1:41" s="31" customFormat="1" ht="12" customHeight="1" x14ac:dyDescent="0.2">
      <c r="A190" s="1" t="s">
        <v>224</v>
      </c>
      <c r="B190" s="1"/>
      <c r="C190" s="1" t="s">
        <v>804</v>
      </c>
      <c r="D190" s="28"/>
      <c r="E190" s="24">
        <v>71970.210000000006</v>
      </c>
      <c r="F190" s="24"/>
      <c r="G190" s="24">
        <v>15750</v>
      </c>
      <c r="H190" s="24"/>
      <c r="I190" s="24">
        <v>57054.67</v>
      </c>
      <c r="J190" s="24"/>
      <c r="K190" s="24">
        <v>0</v>
      </c>
      <c r="L190" s="24"/>
      <c r="M190" s="24">
        <v>0</v>
      </c>
      <c r="N190" s="24"/>
      <c r="O190" s="24">
        <v>148864.16</v>
      </c>
      <c r="P190" s="24"/>
      <c r="Q190" s="24">
        <v>110489.59</v>
      </c>
      <c r="R190" s="24"/>
      <c r="S190" s="24">
        <v>8817.98</v>
      </c>
      <c r="T190" s="24"/>
      <c r="U190" s="24">
        <v>5162.34</v>
      </c>
      <c r="V190" s="24"/>
      <c r="W190" s="24">
        <v>469.9</v>
      </c>
      <c r="X190" s="24"/>
      <c r="Y190" s="24">
        <v>0</v>
      </c>
      <c r="Z190" s="24"/>
      <c r="AA190" s="24">
        <v>0</v>
      </c>
      <c r="AB190" s="24"/>
      <c r="AC190" s="24">
        <v>0</v>
      </c>
      <c r="AD190" s="24"/>
      <c r="AE190" s="24">
        <f t="shared" si="6"/>
        <v>418578.85000000003</v>
      </c>
      <c r="AF190" s="24"/>
      <c r="AG190" s="24">
        <v>-21663.45</v>
      </c>
      <c r="AH190" s="24"/>
      <c r="AI190" s="24">
        <v>251904.82</v>
      </c>
      <c r="AJ190" s="24"/>
      <c r="AK190" s="24">
        <v>230241.37</v>
      </c>
      <c r="AL190" s="24">
        <f>+'Gov Rev'!AI190-'Gov Exp'!AE190+'Gov Exp'!AI190-'Gov Exp'!AK190</f>
        <v>0</v>
      </c>
      <c r="AM190" s="15" t="str">
        <f>'Gov Rev'!A190</f>
        <v>East Sparta</v>
      </c>
      <c r="AN190" s="15" t="str">
        <f t="shared" si="7"/>
        <v>East Sparta</v>
      </c>
      <c r="AO190" s="15" t="b">
        <f t="shared" si="8"/>
        <v>1</v>
      </c>
    </row>
    <row r="191" spans="1:41" ht="12" customHeight="1" x14ac:dyDescent="0.2">
      <c r="A191" s="15" t="s">
        <v>595</v>
      </c>
      <c r="C191" s="15" t="s">
        <v>596</v>
      </c>
      <c r="E191" s="24">
        <v>571843</v>
      </c>
      <c r="G191" s="24">
        <v>0</v>
      </c>
      <c r="I191" s="24">
        <v>28529</v>
      </c>
      <c r="K191" s="24">
        <v>7214</v>
      </c>
      <c r="M191" s="24">
        <v>0</v>
      </c>
      <c r="O191" s="24">
        <v>202856</v>
      </c>
      <c r="Q191" s="24">
        <v>195844</v>
      </c>
      <c r="S191" s="24">
        <v>197338</v>
      </c>
      <c r="U191" s="24">
        <v>0</v>
      </c>
      <c r="W191" s="24">
        <v>0</v>
      </c>
      <c r="Y191" s="24">
        <v>0</v>
      </c>
      <c r="AA191" s="24">
        <v>0</v>
      </c>
      <c r="AC191" s="24">
        <v>37060</v>
      </c>
      <c r="AE191" s="24">
        <f t="shared" si="6"/>
        <v>1240684</v>
      </c>
      <c r="AF191" s="24"/>
      <c r="AG191" s="24">
        <v>677406</v>
      </c>
      <c r="AH191" s="24"/>
      <c r="AI191" s="24">
        <v>387267</v>
      </c>
      <c r="AJ191" s="24"/>
      <c r="AK191" s="24">
        <v>1064673</v>
      </c>
      <c r="AL191" s="24">
        <f>+'Gov Rev'!AI191-'Gov Exp'!AE191+'Gov Exp'!AI191-'Gov Exp'!AK191</f>
        <v>0</v>
      </c>
      <c r="AM191" s="15" t="str">
        <f>'Gov Rev'!A191</f>
        <v>Edgerton</v>
      </c>
      <c r="AN191" s="15" t="str">
        <f t="shared" si="7"/>
        <v>Edgerton</v>
      </c>
      <c r="AO191" s="15" t="b">
        <f t="shared" si="8"/>
        <v>1</v>
      </c>
    </row>
    <row r="192" spans="1:41" ht="12" customHeight="1" x14ac:dyDescent="0.2">
      <c r="A192" s="1" t="s">
        <v>172</v>
      </c>
      <c r="B192" s="1"/>
      <c r="C192" s="1" t="s">
        <v>788</v>
      </c>
      <c r="E192" s="24">
        <v>30963.31</v>
      </c>
      <c r="G192" s="24">
        <v>0</v>
      </c>
      <c r="I192" s="24">
        <v>461.58</v>
      </c>
      <c r="K192" s="24">
        <v>0</v>
      </c>
      <c r="M192" s="24">
        <v>0</v>
      </c>
      <c r="O192" s="24">
        <v>87518.13</v>
      </c>
      <c r="Q192" s="24">
        <v>61193.58</v>
      </c>
      <c r="S192" s="24">
        <v>0</v>
      </c>
      <c r="U192" s="24">
        <v>6694.96</v>
      </c>
      <c r="W192" s="24">
        <v>1164.3</v>
      </c>
      <c r="Y192" s="24">
        <v>0</v>
      </c>
      <c r="AA192" s="24">
        <v>0</v>
      </c>
      <c r="AC192" s="24">
        <v>32</v>
      </c>
      <c r="AE192" s="24">
        <f t="shared" si="6"/>
        <v>188027.86</v>
      </c>
      <c r="AF192" s="24"/>
      <c r="AG192" s="24">
        <v>-8405.9599999999991</v>
      </c>
      <c r="AH192" s="24"/>
      <c r="AI192" s="24">
        <v>82016.17</v>
      </c>
      <c r="AJ192" s="24"/>
      <c r="AK192" s="24">
        <v>73610.210000000006</v>
      </c>
      <c r="AL192" s="24">
        <f>+'Gov Rev'!AI192-'Gov Exp'!AE192+'Gov Exp'!AI192-'Gov Exp'!AK192</f>
        <v>0</v>
      </c>
      <c r="AM192" s="15" t="str">
        <f>'Gov Rev'!A192</f>
        <v>Edison</v>
      </c>
      <c r="AN192" s="15" t="str">
        <f t="shared" si="7"/>
        <v>Edison</v>
      </c>
      <c r="AO192" s="15" t="b">
        <f t="shared" si="8"/>
        <v>1</v>
      </c>
    </row>
    <row r="193" spans="1:41" ht="12" customHeight="1" x14ac:dyDescent="0.2">
      <c r="A193" s="1" t="s">
        <v>253</v>
      </c>
      <c r="B193" s="1"/>
      <c r="C193" s="1" t="s">
        <v>812</v>
      </c>
      <c r="E193" s="24">
        <v>197353.19</v>
      </c>
      <c r="G193" s="24">
        <v>1222.07</v>
      </c>
      <c r="I193" s="24">
        <v>18544.57</v>
      </c>
      <c r="K193" s="24">
        <v>22558.45</v>
      </c>
      <c r="M193" s="24">
        <v>0</v>
      </c>
      <c r="O193" s="24">
        <v>89442.67</v>
      </c>
      <c r="Q193" s="24">
        <v>136897.57999999999</v>
      </c>
      <c r="S193" s="24">
        <v>55740.52</v>
      </c>
      <c r="U193" s="24">
        <v>0</v>
      </c>
      <c r="W193" s="24">
        <v>0</v>
      </c>
      <c r="Y193" s="24">
        <v>0</v>
      </c>
      <c r="AA193" s="24">
        <v>0</v>
      </c>
      <c r="AC193" s="24">
        <v>26885.26</v>
      </c>
      <c r="AE193" s="24">
        <f t="shared" si="6"/>
        <v>548644.31000000006</v>
      </c>
      <c r="AF193" s="24"/>
      <c r="AG193" s="24">
        <v>-86983.95</v>
      </c>
      <c r="AH193" s="24"/>
      <c r="AI193" s="24">
        <v>263369.11</v>
      </c>
      <c r="AJ193" s="24"/>
      <c r="AK193" s="24">
        <v>176385.16</v>
      </c>
      <c r="AL193" s="24">
        <f>+'Gov Rev'!AI193-'Gov Exp'!AE193+'Gov Exp'!AI193-'Gov Exp'!AK193</f>
        <v>0</v>
      </c>
      <c r="AM193" s="15" t="str">
        <f>'Gov Rev'!A193</f>
        <v>Edon</v>
      </c>
      <c r="AN193" s="15" t="str">
        <f t="shared" si="7"/>
        <v>Edon</v>
      </c>
      <c r="AO193" s="15" t="b">
        <f t="shared" si="8"/>
        <v>1</v>
      </c>
    </row>
    <row r="194" spans="1:41" ht="12" customHeight="1" x14ac:dyDescent="0.2">
      <c r="A194" s="1" t="s">
        <v>200</v>
      </c>
      <c r="B194" s="1"/>
      <c r="C194" s="1" t="s">
        <v>796</v>
      </c>
      <c r="D194" s="28"/>
      <c r="E194" s="24">
        <v>18151.23</v>
      </c>
      <c r="G194" s="24">
        <v>572.76</v>
      </c>
      <c r="I194" s="24">
        <v>1844.8</v>
      </c>
      <c r="K194" s="24">
        <v>185.73</v>
      </c>
      <c r="M194" s="24">
        <v>36436.269999999997</v>
      </c>
      <c r="O194" s="24">
        <v>31731.3</v>
      </c>
      <c r="Q194" s="24">
        <v>58491.360000000001</v>
      </c>
      <c r="S194" s="24">
        <v>45637.58</v>
      </c>
      <c r="U194" s="24">
        <v>0</v>
      </c>
      <c r="W194" s="24">
        <v>0</v>
      </c>
      <c r="Y194" s="24">
        <v>0</v>
      </c>
      <c r="AA194" s="24">
        <v>0</v>
      </c>
      <c r="AC194" s="24">
        <v>0</v>
      </c>
      <c r="AE194" s="24">
        <f t="shared" si="6"/>
        <v>193051.03000000003</v>
      </c>
      <c r="AF194" s="24"/>
      <c r="AG194" s="24">
        <v>9571.75</v>
      </c>
      <c r="AH194" s="24"/>
      <c r="AI194" s="24">
        <v>314944.37</v>
      </c>
      <c r="AJ194" s="24"/>
      <c r="AK194" s="24">
        <v>324516.12</v>
      </c>
      <c r="AL194" s="24">
        <f>+'Gov Rev'!AI194-'Gov Exp'!AE194+'Gov Exp'!AI194-'Gov Exp'!AK194</f>
        <v>0</v>
      </c>
      <c r="AM194" s="15" t="str">
        <f>'Gov Rev'!A194</f>
        <v>Eldorado</v>
      </c>
      <c r="AN194" s="15" t="str">
        <f t="shared" si="7"/>
        <v>Eldorado</v>
      </c>
      <c r="AO194" s="15" t="b">
        <f t="shared" si="8"/>
        <v>1</v>
      </c>
    </row>
    <row r="195" spans="1:41" s="31" customFormat="1" ht="12" hidden="1" customHeight="1" x14ac:dyDescent="0.2">
      <c r="A195" s="1" t="s">
        <v>571</v>
      </c>
      <c r="B195" s="1"/>
      <c r="C195" s="1" t="s">
        <v>808</v>
      </c>
      <c r="D195" s="15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>
        <f t="shared" si="6"/>
        <v>0</v>
      </c>
      <c r="AF195" s="24"/>
      <c r="AG195" s="24"/>
      <c r="AH195" s="24"/>
      <c r="AI195" s="24"/>
      <c r="AJ195" s="24"/>
      <c r="AK195" s="24"/>
      <c r="AL195" s="24">
        <f>+'Gov Rev'!AI195-'Gov Exp'!AE195+'Gov Exp'!AI195-'Gov Exp'!AK195</f>
        <v>0</v>
      </c>
      <c r="AM195" s="15" t="str">
        <f>'Gov Rev'!A195</f>
        <v>Elgin</v>
      </c>
      <c r="AN195" s="15" t="str">
        <f t="shared" si="7"/>
        <v>Elgin</v>
      </c>
      <c r="AO195" s="15" t="b">
        <f t="shared" si="8"/>
        <v>1</v>
      </c>
    </row>
    <row r="196" spans="1:41" s="24" customFormat="1" ht="12" customHeight="1" x14ac:dyDescent="0.2">
      <c r="A196" s="1" t="s">
        <v>3</v>
      </c>
      <c r="B196" s="1"/>
      <c r="C196" s="1" t="s">
        <v>737</v>
      </c>
      <c r="D196" s="37"/>
      <c r="E196" s="24">
        <v>197182.39</v>
      </c>
      <c r="G196" s="24">
        <v>8904.9</v>
      </c>
      <c r="I196" s="24">
        <v>0</v>
      </c>
      <c r="K196" s="24">
        <v>1900</v>
      </c>
      <c r="M196" s="24">
        <v>2993.88</v>
      </c>
      <c r="O196" s="24">
        <v>180545.3</v>
      </c>
      <c r="Q196" s="24">
        <v>140000.6</v>
      </c>
      <c r="S196" s="24">
        <v>1069904.79</v>
      </c>
      <c r="U196" s="24">
        <v>0</v>
      </c>
      <c r="W196" s="24">
        <v>0</v>
      </c>
      <c r="Y196" s="24">
        <v>659138.30000000005</v>
      </c>
      <c r="AA196" s="24">
        <v>0</v>
      </c>
      <c r="AC196" s="24">
        <v>6666.67</v>
      </c>
      <c r="AE196" s="24">
        <f t="shared" si="6"/>
        <v>2267236.83</v>
      </c>
      <c r="AG196" s="24">
        <v>-71434.039999999994</v>
      </c>
      <c r="AI196" s="24">
        <v>344966.11</v>
      </c>
      <c r="AK196" s="24">
        <v>273532.07</v>
      </c>
      <c r="AL196" s="24">
        <f>+'Gov Rev'!AI196-'Gov Exp'!AE196+'Gov Exp'!AI196-'Gov Exp'!AK196</f>
        <v>0</v>
      </c>
      <c r="AM196" s="15" t="str">
        <f>'Gov Rev'!A196</f>
        <v>Elida</v>
      </c>
      <c r="AN196" s="15" t="str">
        <f t="shared" si="7"/>
        <v>Elida</v>
      </c>
      <c r="AO196" s="15" t="b">
        <f t="shared" si="8"/>
        <v>1</v>
      </c>
    </row>
    <row r="197" spans="1:41" ht="12" customHeight="1" x14ac:dyDescent="0.2">
      <c r="A197" s="1" t="s">
        <v>180</v>
      </c>
      <c r="B197" s="1"/>
      <c r="C197" s="1" t="s">
        <v>791</v>
      </c>
      <c r="D197" s="28"/>
      <c r="E197" s="24">
        <v>339138.18</v>
      </c>
      <c r="G197" s="24">
        <v>3823.88</v>
      </c>
      <c r="I197" s="24">
        <v>20201.8</v>
      </c>
      <c r="K197" s="24">
        <v>6941.53</v>
      </c>
      <c r="M197" s="24">
        <v>93976.72</v>
      </c>
      <c r="O197" s="24">
        <v>200626.27</v>
      </c>
      <c r="Q197" s="24">
        <v>198064.62</v>
      </c>
      <c r="S197" s="24">
        <v>286965.87</v>
      </c>
      <c r="U197" s="24">
        <v>12476.18</v>
      </c>
      <c r="W197" s="24">
        <v>0</v>
      </c>
      <c r="Y197" s="24">
        <v>35536.089999999997</v>
      </c>
      <c r="AA197" s="24">
        <v>0</v>
      </c>
      <c r="AC197" s="24">
        <v>0</v>
      </c>
      <c r="AE197" s="24">
        <f t="shared" si="6"/>
        <v>1197751.1400000001</v>
      </c>
      <c r="AF197" s="24"/>
      <c r="AG197" s="24">
        <v>303107.09000000003</v>
      </c>
      <c r="AH197" s="24"/>
      <c r="AI197" s="24">
        <v>2063522.72</v>
      </c>
      <c r="AJ197" s="24"/>
      <c r="AK197" s="24">
        <v>2366629.81</v>
      </c>
      <c r="AL197" s="24">
        <f>+'Gov Rev'!AI197-'Gov Exp'!AE197+'Gov Exp'!AI197-'Gov Exp'!AK197</f>
        <v>0</v>
      </c>
      <c r="AM197" s="15" t="str">
        <f>'Gov Rev'!A197</f>
        <v>Elmore</v>
      </c>
      <c r="AN197" s="15" t="str">
        <f t="shared" si="7"/>
        <v>Elmore</v>
      </c>
      <c r="AO197" s="15" t="b">
        <f t="shared" si="8"/>
        <v>1</v>
      </c>
    </row>
    <row r="198" spans="1:41" ht="12" customHeight="1" x14ac:dyDescent="0.2">
      <c r="A198" s="1" t="s">
        <v>92</v>
      </c>
      <c r="B198" s="1"/>
      <c r="C198" s="1" t="s">
        <v>378</v>
      </c>
      <c r="E198" s="24">
        <v>456707.08</v>
      </c>
      <c r="G198" s="24">
        <v>0</v>
      </c>
      <c r="I198" s="24">
        <v>2993.28</v>
      </c>
      <c r="K198" s="24">
        <v>0</v>
      </c>
      <c r="M198" s="24">
        <v>110000</v>
      </c>
      <c r="O198" s="24">
        <v>131187.43</v>
      </c>
      <c r="Q198" s="24">
        <v>401930.3</v>
      </c>
      <c r="S198" s="24">
        <v>100.43</v>
      </c>
      <c r="U198" s="24">
        <v>45392.93</v>
      </c>
      <c r="W198" s="24">
        <v>11386.53</v>
      </c>
      <c r="Y198" s="24">
        <v>0</v>
      </c>
      <c r="AA198" s="24">
        <v>0</v>
      </c>
      <c r="AC198" s="24">
        <v>0</v>
      </c>
      <c r="AE198" s="24">
        <f t="shared" si="6"/>
        <v>1159697.98</v>
      </c>
      <c r="AF198" s="24"/>
      <c r="AG198" s="24">
        <v>691237.83</v>
      </c>
      <c r="AH198" s="24"/>
      <c r="AI198" s="24">
        <v>383193.69</v>
      </c>
      <c r="AJ198" s="24"/>
      <c r="AK198" s="24">
        <v>1074431.52</v>
      </c>
      <c r="AL198" s="24">
        <f>+'Gov Rev'!AI198-'Gov Exp'!AE198+'Gov Exp'!AI198-'Gov Exp'!AK198</f>
        <v>0</v>
      </c>
      <c r="AM198" s="15" t="str">
        <f>'Gov Rev'!A198</f>
        <v>Elmwood Place</v>
      </c>
      <c r="AN198" s="15" t="str">
        <f t="shared" si="7"/>
        <v>Elmwood Place</v>
      </c>
      <c r="AO198" s="15" t="b">
        <f t="shared" si="8"/>
        <v>1</v>
      </c>
    </row>
    <row r="199" spans="1:41" s="31" customFormat="1" ht="12" customHeight="1" x14ac:dyDescent="0.2">
      <c r="A199" s="1" t="s">
        <v>117</v>
      </c>
      <c r="B199" s="1"/>
      <c r="C199" s="1" t="s">
        <v>770</v>
      </c>
      <c r="D199" s="28"/>
      <c r="E199" s="24">
        <v>21882.57</v>
      </c>
      <c r="F199" s="24"/>
      <c r="G199" s="24">
        <v>1622.97</v>
      </c>
      <c r="H199" s="24"/>
      <c r="I199" s="24">
        <v>1805.78</v>
      </c>
      <c r="J199" s="24"/>
      <c r="K199" s="24">
        <v>0</v>
      </c>
      <c r="L199" s="24"/>
      <c r="M199" s="24">
        <v>0</v>
      </c>
      <c r="N199" s="24"/>
      <c r="O199" s="24">
        <v>19928.14</v>
      </c>
      <c r="P199" s="24"/>
      <c r="Q199" s="24">
        <v>20536.2</v>
      </c>
      <c r="R199" s="24"/>
      <c r="S199" s="24">
        <v>0</v>
      </c>
      <c r="T199" s="24"/>
      <c r="U199" s="24">
        <v>0</v>
      </c>
      <c r="V199" s="24"/>
      <c r="W199" s="24">
        <v>0</v>
      </c>
      <c r="X199" s="24"/>
      <c r="Y199" s="24">
        <v>0</v>
      </c>
      <c r="Z199" s="24"/>
      <c r="AA199" s="24">
        <v>0</v>
      </c>
      <c r="AB199" s="24"/>
      <c r="AC199" s="24">
        <v>0</v>
      </c>
      <c r="AD199" s="24"/>
      <c r="AE199" s="24">
        <f t="shared" si="6"/>
        <v>65775.66</v>
      </c>
      <c r="AF199" s="24"/>
      <c r="AG199" s="24">
        <v>-13596.51</v>
      </c>
      <c r="AH199" s="24"/>
      <c r="AI199" s="24">
        <v>62170.57</v>
      </c>
      <c r="AJ199" s="24"/>
      <c r="AK199" s="24">
        <v>48574.06</v>
      </c>
      <c r="AL199" s="24">
        <f>+'Gov Rev'!AI199-'Gov Exp'!AE199+'Gov Exp'!AI199-'Gov Exp'!AK199</f>
        <v>0</v>
      </c>
      <c r="AM199" s="15" t="str">
        <f>'Gov Rev'!A199</f>
        <v>Empire</v>
      </c>
      <c r="AN199" s="15" t="str">
        <f t="shared" si="7"/>
        <v>Empire</v>
      </c>
      <c r="AO199" s="15" t="b">
        <f t="shared" si="8"/>
        <v>1</v>
      </c>
    </row>
    <row r="200" spans="1:41" s="31" customFormat="1" ht="12" customHeight="1" x14ac:dyDescent="0.2">
      <c r="A200" s="15" t="s">
        <v>291</v>
      </c>
      <c r="B200" s="15"/>
      <c r="C200" s="15" t="s">
        <v>292</v>
      </c>
      <c r="D200" s="15"/>
      <c r="E200" s="24">
        <v>30437</v>
      </c>
      <c r="F200" s="24"/>
      <c r="G200" s="24">
        <v>0</v>
      </c>
      <c r="H200" s="24"/>
      <c r="I200" s="24">
        <v>5508</v>
      </c>
      <c r="J200" s="24"/>
      <c r="K200" s="24">
        <v>0</v>
      </c>
      <c r="L200" s="24"/>
      <c r="M200" s="24">
        <v>0</v>
      </c>
      <c r="N200" s="24"/>
      <c r="O200" s="24">
        <v>5253</v>
      </c>
      <c r="P200" s="24"/>
      <c r="Q200" s="24">
        <f>50645+1</f>
        <v>50646</v>
      </c>
      <c r="R200" s="24"/>
      <c r="S200" s="24">
        <v>243872</v>
      </c>
      <c r="T200" s="24"/>
      <c r="U200" s="24">
        <v>0</v>
      </c>
      <c r="V200" s="24"/>
      <c r="W200" s="24">
        <v>0</v>
      </c>
      <c r="X200" s="24"/>
      <c r="Y200" s="24">
        <v>0</v>
      </c>
      <c r="Z200" s="24"/>
      <c r="AA200" s="24">
        <v>0</v>
      </c>
      <c r="AB200" s="24"/>
      <c r="AC200" s="24">
        <f>134914+216356+112357+272180</f>
        <v>735807</v>
      </c>
      <c r="AD200" s="24"/>
      <c r="AE200" s="24">
        <f t="shared" si="6"/>
        <v>1071523</v>
      </c>
      <c r="AF200" s="24"/>
      <c r="AG200" s="24">
        <v>344994</v>
      </c>
      <c r="AH200" s="24"/>
      <c r="AI200" s="24">
        <v>1470292</v>
      </c>
      <c r="AJ200" s="24"/>
      <c r="AK200" s="24">
        <v>1815285</v>
      </c>
      <c r="AL200" s="24">
        <f>+'Gov Rev'!AI200-'Gov Exp'!AE200+'Gov Exp'!AI200-'Gov Exp'!AK200</f>
        <v>0</v>
      </c>
      <c r="AM200" s="15" t="str">
        <f>'Gov Rev'!A200</f>
        <v>Enon</v>
      </c>
      <c r="AN200" s="15" t="str">
        <f t="shared" si="7"/>
        <v>Enon</v>
      </c>
      <c r="AO200" s="15" t="b">
        <f t="shared" si="8"/>
        <v>1</v>
      </c>
    </row>
    <row r="201" spans="1:41" ht="12" customHeight="1" x14ac:dyDescent="0.2">
      <c r="A201" s="15" t="s">
        <v>380</v>
      </c>
      <c r="C201" s="15" t="s">
        <v>378</v>
      </c>
      <c r="E201" s="24">
        <v>5504610</v>
      </c>
      <c r="G201" s="24">
        <v>5891</v>
      </c>
      <c r="I201" s="24">
        <v>1702955</v>
      </c>
      <c r="K201" s="24">
        <v>220762</v>
      </c>
      <c r="M201" s="24">
        <v>244893</v>
      </c>
      <c r="O201" s="24">
        <v>862157</v>
      </c>
      <c r="Q201" s="24">
        <f>2367577-1</f>
        <v>2367576</v>
      </c>
      <c r="S201" s="24">
        <v>2241822</v>
      </c>
      <c r="U201" s="24">
        <v>220000</v>
      </c>
      <c r="W201" s="24">
        <v>55681</v>
      </c>
      <c r="Y201" s="24">
        <v>3347825</v>
      </c>
      <c r="AA201" s="24">
        <v>50000</v>
      </c>
      <c r="AC201" s="24">
        <v>0</v>
      </c>
      <c r="AE201" s="24">
        <f t="shared" si="6"/>
        <v>16824172</v>
      </c>
      <c r="AF201" s="24"/>
      <c r="AG201" s="24">
        <v>1768983</v>
      </c>
      <c r="AH201" s="24"/>
      <c r="AI201" s="24">
        <v>16100659</v>
      </c>
      <c r="AJ201" s="24"/>
      <c r="AK201" s="24">
        <v>17869642</v>
      </c>
      <c r="AL201" s="24">
        <f>+'Gov Rev'!AI201-'Gov Exp'!AE201+'Gov Exp'!AI201-'Gov Exp'!AK201</f>
        <v>0</v>
      </c>
      <c r="AM201" s="15" t="str">
        <f>'Gov Rev'!A201</f>
        <v>Evendale</v>
      </c>
      <c r="AN201" s="15" t="str">
        <f t="shared" si="7"/>
        <v>Evendale</v>
      </c>
      <c r="AO201" s="15" t="b">
        <f t="shared" si="8"/>
        <v>1</v>
      </c>
    </row>
    <row r="202" spans="1:41" s="24" customFormat="1" ht="12" customHeight="1" x14ac:dyDescent="0.2">
      <c r="A202" s="1" t="s">
        <v>93</v>
      </c>
      <c r="B202" s="1"/>
      <c r="C202" s="1" t="s">
        <v>763</v>
      </c>
      <c r="D202" s="15"/>
      <c r="E202" s="24">
        <v>976111.41</v>
      </c>
      <c r="G202" s="24">
        <v>3331.2</v>
      </c>
      <c r="I202" s="24">
        <v>58219.3</v>
      </c>
      <c r="K202" s="24">
        <v>55788.959999999999</v>
      </c>
      <c r="M202" s="24">
        <v>157925.67000000001</v>
      </c>
      <c r="O202" s="24">
        <v>581519.92000000004</v>
      </c>
      <c r="Q202" s="24">
        <v>923200.51</v>
      </c>
      <c r="S202" s="24">
        <v>1905876.51</v>
      </c>
      <c r="U202" s="24">
        <v>0</v>
      </c>
      <c r="W202" s="24">
        <v>0</v>
      </c>
      <c r="Y202" s="24">
        <v>447570.24</v>
      </c>
      <c r="AA202" s="24">
        <v>44030</v>
      </c>
      <c r="AC202" s="24">
        <v>0</v>
      </c>
      <c r="AE202" s="24">
        <f t="shared" si="6"/>
        <v>5153573.72</v>
      </c>
      <c r="AG202" s="24">
        <v>458880.08</v>
      </c>
      <c r="AI202" s="24">
        <v>1501575.88</v>
      </c>
      <c r="AK202" s="24">
        <v>1960455.96</v>
      </c>
      <c r="AL202" s="24">
        <f>+'Gov Rev'!AI202-'Gov Exp'!AE202+'Gov Exp'!AI202-'Gov Exp'!AK202</f>
        <v>0</v>
      </c>
      <c r="AM202" s="15" t="str">
        <f>'Gov Rev'!A202</f>
        <v>Fairfax</v>
      </c>
      <c r="AN202" s="15" t="str">
        <f t="shared" si="7"/>
        <v>Fairfax</v>
      </c>
      <c r="AO202" s="15" t="b">
        <f t="shared" si="8"/>
        <v>1</v>
      </c>
    </row>
    <row r="203" spans="1:41" s="24" customFormat="1" ht="12" customHeight="1" x14ac:dyDescent="0.2">
      <c r="A203" s="1" t="s">
        <v>429</v>
      </c>
      <c r="B203" s="1"/>
      <c r="C203" s="1" t="s">
        <v>430</v>
      </c>
      <c r="D203" s="15"/>
      <c r="E203" s="24">
        <v>1172686.6100000001</v>
      </c>
      <c r="G203" s="24">
        <v>20334</v>
      </c>
      <c r="I203" s="24">
        <v>98512.63</v>
      </c>
      <c r="K203" s="24">
        <v>37763.99</v>
      </c>
      <c r="M203" s="24">
        <v>33688.11</v>
      </c>
      <c r="O203" s="24">
        <v>373515.45</v>
      </c>
      <c r="Q203" s="24">
        <v>571343.28</v>
      </c>
      <c r="S203" s="24">
        <v>50000</v>
      </c>
      <c r="U203" s="24">
        <v>26363.68</v>
      </c>
      <c r="W203" s="24">
        <v>18134.75</v>
      </c>
      <c r="Y203" s="24">
        <v>130866.73</v>
      </c>
      <c r="AA203" s="24">
        <v>50330</v>
      </c>
      <c r="AC203" s="24">
        <v>0</v>
      </c>
      <c r="AE203" s="24">
        <f t="shared" si="6"/>
        <v>2583539.2300000004</v>
      </c>
      <c r="AG203" s="24">
        <v>-6539.72</v>
      </c>
      <c r="AI203" s="24">
        <v>1414652.66</v>
      </c>
      <c r="AK203" s="24">
        <v>1408112.94</v>
      </c>
      <c r="AL203" s="24">
        <f>+'Gov Rev'!AI203-'Gov Exp'!AE203+'Gov Exp'!AI203-'Gov Exp'!AK203</f>
        <v>0</v>
      </c>
      <c r="AM203" s="15" t="str">
        <f>'Gov Rev'!A203</f>
        <v>Fairport Harbor</v>
      </c>
      <c r="AN203" s="15" t="str">
        <f t="shared" si="7"/>
        <v>Fairport Harbor</v>
      </c>
      <c r="AO203" s="15" t="b">
        <f t="shared" si="8"/>
        <v>1</v>
      </c>
    </row>
    <row r="204" spans="1:41" ht="12" hidden="1" customHeight="1" x14ac:dyDescent="0.2">
      <c r="A204" s="1" t="s">
        <v>886</v>
      </c>
      <c r="B204" s="1"/>
      <c r="C204" s="1" t="s">
        <v>762</v>
      </c>
      <c r="AE204" s="24">
        <f t="shared" si="6"/>
        <v>0</v>
      </c>
      <c r="AF204" s="24"/>
      <c r="AG204" s="24"/>
      <c r="AH204" s="24"/>
      <c r="AI204" s="24"/>
      <c r="AJ204" s="24"/>
      <c r="AK204" s="24"/>
      <c r="AL204" s="24">
        <f>+'Gov Rev'!AI204-'Gov Exp'!AE204+'Gov Exp'!AI204-'Gov Exp'!AK204</f>
        <v>0</v>
      </c>
      <c r="AM204" s="15" t="str">
        <f>'Gov Rev'!A204</f>
        <v>Fairview</v>
      </c>
      <c r="AN204" s="15" t="str">
        <f t="shared" si="7"/>
        <v>Fairview</v>
      </c>
      <c r="AO204" s="15" t="b">
        <f t="shared" si="8"/>
        <v>1</v>
      </c>
    </row>
    <row r="205" spans="1:41" ht="12" customHeight="1" x14ac:dyDescent="0.2">
      <c r="A205" s="1" t="s">
        <v>167</v>
      </c>
      <c r="B205" s="1"/>
      <c r="C205" s="1" t="s">
        <v>786</v>
      </c>
      <c r="E205" s="24">
        <v>119125.02</v>
      </c>
      <c r="G205" s="24">
        <v>0</v>
      </c>
      <c r="I205" s="24">
        <v>0</v>
      </c>
      <c r="K205" s="24">
        <v>1200</v>
      </c>
      <c r="M205" s="24">
        <v>0</v>
      </c>
      <c r="O205" s="24">
        <v>101942.09</v>
      </c>
      <c r="Q205" s="24">
        <v>169103.25</v>
      </c>
      <c r="S205" s="24">
        <v>329243.56</v>
      </c>
      <c r="U205" s="24">
        <v>3908</v>
      </c>
      <c r="W205" s="24">
        <v>2525.61</v>
      </c>
      <c r="Y205" s="24">
        <v>40000</v>
      </c>
      <c r="AA205" s="24">
        <v>79797.7</v>
      </c>
      <c r="AC205" s="24">
        <v>0</v>
      </c>
      <c r="AE205" s="24">
        <f t="shared" si="6"/>
        <v>846845.22999999986</v>
      </c>
      <c r="AF205" s="24"/>
      <c r="AG205" s="24">
        <v>-118450.29</v>
      </c>
      <c r="AH205" s="24"/>
      <c r="AI205" s="24">
        <v>149971.69</v>
      </c>
      <c r="AJ205" s="24"/>
      <c r="AK205" s="24">
        <v>31521.4</v>
      </c>
      <c r="AL205" s="24">
        <f>+'Gov Rev'!AI205-'Gov Exp'!AE205+'Gov Exp'!AI205-'Gov Exp'!AK205</f>
        <v>8.0035533756017685E-11</v>
      </c>
      <c r="AM205" s="15" t="str">
        <f>'Gov Rev'!A205</f>
        <v>Farmersville</v>
      </c>
      <c r="AN205" s="15" t="str">
        <f t="shared" si="7"/>
        <v>Farmersville</v>
      </c>
      <c r="AO205" s="15" t="b">
        <f t="shared" si="8"/>
        <v>1</v>
      </c>
    </row>
    <row r="206" spans="1:41" ht="12" customHeight="1" x14ac:dyDescent="0.2">
      <c r="A206" s="15" t="s">
        <v>360</v>
      </c>
      <c r="C206" s="15" t="s">
        <v>358</v>
      </c>
      <c r="E206" s="24">
        <v>205274</v>
      </c>
      <c r="G206" s="24">
        <v>0</v>
      </c>
      <c r="I206" s="24">
        <v>34651</v>
      </c>
      <c r="K206" s="24">
        <v>6385</v>
      </c>
      <c r="M206" s="24">
        <v>0</v>
      </c>
      <c r="O206" s="24">
        <v>70083</v>
      </c>
      <c r="Q206" s="24">
        <f>110981+1</f>
        <v>110982</v>
      </c>
      <c r="S206" s="24">
        <v>443506</v>
      </c>
      <c r="U206" s="24">
        <v>5086</v>
      </c>
      <c r="W206" s="24">
        <v>600</v>
      </c>
      <c r="Y206" s="24">
        <v>0</v>
      </c>
      <c r="AA206" s="24">
        <v>0</v>
      </c>
      <c r="AC206" s="24">
        <v>0</v>
      </c>
      <c r="AE206" s="24">
        <f t="shared" ref="AE206:AE272" si="9">SUM(E206:AC206)</f>
        <v>876567</v>
      </c>
      <c r="AF206" s="24"/>
      <c r="AG206" s="24">
        <v>-18338</v>
      </c>
      <c r="AH206" s="24"/>
      <c r="AI206" s="24">
        <v>978924</v>
      </c>
      <c r="AJ206" s="24"/>
      <c r="AK206" s="24">
        <v>960586</v>
      </c>
      <c r="AL206" s="24">
        <f>+'Gov Rev'!AI206-'Gov Exp'!AE206+'Gov Exp'!AI206-'Gov Exp'!AK206</f>
        <v>0</v>
      </c>
      <c r="AM206" s="15" t="str">
        <f>'Gov Rev'!A206</f>
        <v>Fayette</v>
      </c>
      <c r="AN206" s="15" t="str">
        <f t="shared" ref="AN206:AN272" si="10">A206</f>
        <v>Fayette</v>
      </c>
      <c r="AO206" s="15" t="b">
        <f t="shared" ref="AO206:AO272" si="11">AM206=AN206</f>
        <v>1</v>
      </c>
    </row>
    <row r="207" spans="1:41" ht="12" customHeight="1" x14ac:dyDescent="0.2">
      <c r="A207" s="1" t="s">
        <v>21</v>
      </c>
      <c r="B207" s="1"/>
      <c r="C207" s="1" t="s">
        <v>742</v>
      </c>
      <c r="E207" s="24">
        <v>96251.03</v>
      </c>
      <c r="G207" s="24">
        <v>556</v>
      </c>
      <c r="I207" s="24">
        <v>5075.25</v>
      </c>
      <c r="K207" s="24">
        <v>0</v>
      </c>
      <c r="M207" s="24">
        <v>0</v>
      </c>
      <c r="O207" s="24">
        <v>22106.7</v>
      </c>
      <c r="Q207" s="24">
        <v>70769.45</v>
      </c>
      <c r="S207" s="24">
        <v>0</v>
      </c>
      <c r="U207" s="24">
        <v>10327</v>
      </c>
      <c r="W207" s="24">
        <v>808.61</v>
      </c>
      <c r="Y207" s="24">
        <v>0</v>
      </c>
      <c r="AA207" s="24">
        <v>0</v>
      </c>
      <c r="AC207" s="24">
        <v>9520</v>
      </c>
      <c r="AE207" s="24">
        <f t="shared" si="9"/>
        <v>215414.03999999998</v>
      </c>
      <c r="AF207" s="24"/>
      <c r="AG207" s="24">
        <v>-23833.84</v>
      </c>
      <c r="AH207" s="24"/>
      <c r="AI207" s="24">
        <v>75941.61</v>
      </c>
      <c r="AJ207" s="24"/>
      <c r="AK207" s="24">
        <v>52107.77</v>
      </c>
      <c r="AL207" s="24">
        <f>+'Gov Rev'!AI207-'Gov Exp'!AE207+'Gov Exp'!AI207-'Gov Exp'!AK207</f>
        <v>0</v>
      </c>
      <c r="AM207" s="15" t="str">
        <f>'Gov Rev'!A207</f>
        <v>Fayetteville</v>
      </c>
      <c r="AN207" s="15" t="str">
        <f t="shared" si="10"/>
        <v>Fayetteville</v>
      </c>
      <c r="AO207" s="15" t="b">
        <f t="shared" si="11"/>
        <v>1</v>
      </c>
    </row>
    <row r="208" spans="1:41" ht="12" hidden="1" customHeight="1" x14ac:dyDescent="0.2">
      <c r="A208" s="1" t="s">
        <v>297</v>
      </c>
      <c r="B208" s="1"/>
      <c r="C208" s="1" t="s">
        <v>295</v>
      </c>
      <c r="AE208" s="24">
        <f t="shared" si="9"/>
        <v>0</v>
      </c>
      <c r="AF208" s="24"/>
      <c r="AG208" s="24"/>
      <c r="AH208" s="24"/>
      <c r="AI208" s="24"/>
      <c r="AJ208" s="24"/>
      <c r="AK208" s="24"/>
      <c r="AL208" s="24">
        <f>+'Gov Rev'!AI208-'Gov Exp'!AE208+'Gov Exp'!AI208-'Gov Exp'!AK208</f>
        <v>0</v>
      </c>
      <c r="AM208" s="15" t="str">
        <f>'Gov Rev'!A208</f>
        <v>Felicity</v>
      </c>
      <c r="AN208" s="15" t="str">
        <f t="shared" si="10"/>
        <v>Felicity</v>
      </c>
      <c r="AO208" s="15" t="b">
        <f t="shared" si="11"/>
        <v>1</v>
      </c>
    </row>
    <row r="209" spans="1:41" s="31" customFormat="1" ht="12" customHeight="1" x14ac:dyDescent="0.2">
      <c r="A209" s="15" t="s">
        <v>921</v>
      </c>
      <c r="B209" s="15"/>
      <c r="C209" s="1" t="s">
        <v>470</v>
      </c>
      <c r="D209" s="15"/>
      <c r="E209" s="24">
        <v>32557.16</v>
      </c>
      <c r="F209" s="24"/>
      <c r="G209" s="24">
        <v>0</v>
      </c>
      <c r="H209" s="24"/>
      <c r="I209" s="24">
        <v>4189.0600000000004</v>
      </c>
      <c r="J209" s="24"/>
      <c r="K209" s="24">
        <v>0</v>
      </c>
      <c r="L209" s="24"/>
      <c r="M209" s="24">
        <v>0</v>
      </c>
      <c r="N209" s="24"/>
      <c r="O209" s="24">
        <v>17681.91</v>
      </c>
      <c r="P209" s="24"/>
      <c r="Q209" s="24">
        <v>30007.48</v>
      </c>
      <c r="R209" s="24"/>
      <c r="S209" s="24">
        <v>0</v>
      </c>
      <c r="T209" s="24"/>
      <c r="U209" s="24">
        <v>0</v>
      </c>
      <c r="V209" s="24"/>
      <c r="W209" s="24">
        <v>0</v>
      </c>
      <c r="X209" s="24"/>
      <c r="Y209" s="24">
        <v>0</v>
      </c>
      <c r="Z209" s="24"/>
      <c r="AA209" s="24">
        <v>0</v>
      </c>
      <c r="AB209" s="24"/>
      <c r="AC209" s="24">
        <v>7247.13</v>
      </c>
      <c r="AD209" s="24"/>
      <c r="AE209" s="24">
        <f t="shared" si="9"/>
        <v>91682.74</v>
      </c>
      <c r="AF209" s="24"/>
      <c r="AG209" s="24">
        <v>-14450.08</v>
      </c>
      <c r="AH209" s="24"/>
      <c r="AI209" s="24">
        <v>72345.509999999995</v>
      </c>
      <c r="AJ209" s="24"/>
      <c r="AK209" s="24">
        <v>57895.43</v>
      </c>
      <c r="AL209" s="24">
        <f>+'Gov Rev'!AI209-'Gov Exp'!AE209+'Gov Exp'!AI209-'Gov Exp'!AK209</f>
        <v>0</v>
      </c>
      <c r="AM209" s="15" t="str">
        <f>'Gov Rev'!A209</f>
        <v>Fletcher</v>
      </c>
      <c r="AN209" s="15" t="str">
        <f t="shared" si="10"/>
        <v>Fletcher</v>
      </c>
      <c r="AO209" s="15" t="b">
        <f t="shared" si="11"/>
        <v>1</v>
      </c>
    </row>
    <row r="210" spans="1:41" ht="12" customHeight="1" x14ac:dyDescent="0.2">
      <c r="A210" s="1" t="s">
        <v>105</v>
      </c>
      <c r="B210" s="1"/>
      <c r="C210" s="1" t="s">
        <v>766</v>
      </c>
      <c r="D210" s="28"/>
      <c r="E210" s="24">
        <v>14749.85</v>
      </c>
      <c r="G210" s="24">
        <v>622.55999999999995</v>
      </c>
      <c r="I210" s="24">
        <v>1038.95</v>
      </c>
      <c r="K210" s="24">
        <v>0</v>
      </c>
      <c r="M210" s="24">
        <v>816.65</v>
      </c>
      <c r="O210" s="24">
        <v>10110.969999999999</v>
      </c>
      <c r="Q210" s="24">
        <v>20277.32</v>
      </c>
      <c r="S210" s="24">
        <v>0</v>
      </c>
      <c r="U210" s="24">
        <v>0</v>
      </c>
      <c r="W210" s="24">
        <v>0</v>
      </c>
      <c r="Y210" s="24">
        <v>0</v>
      </c>
      <c r="AA210" s="24">
        <v>0</v>
      </c>
      <c r="AC210" s="24">
        <v>0</v>
      </c>
      <c r="AE210" s="24">
        <f t="shared" si="9"/>
        <v>47616.3</v>
      </c>
      <c r="AF210" s="24"/>
      <c r="AG210" s="24">
        <v>9798.51</v>
      </c>
      <c r="AH210" s="24"/>
      <c r="AI210" s="24">
        <v>71789.34</v>
      </c>
      <c r="AJ210" s="24"/>
      <c r="AK210" s="24">
        <v>81587.850000000006</v>
      </c>
      <c r="AL210" s="24">
        <f>+'Gov Rev'!AI210-'Gov Exp'!AE210+'Gov Exp'!AI210-'Gov Exp'!AK210</f>
        <v>0</v>
      </c>
      <c r="AM210" s="15" t="str">
        <f>'Gov Rev'!A210</f>
        <v>Florida</v>
      </c>
      <c r="AN210" s="15" t="str">
        <f t="shared" si="10"/>
        <v>Florida</v>
      </c>
      <c r="AO210" s="15" t="b">
        <f t="shared" si="11"/>
        <v>1</v>
      </c>
    </row>
    <row r="211" spans="1:41" ht="12" customHeight="1" x14ac:dyDescent="0.2">
      <c r="A211" s="1" t="s">
        <v>922</v>
      </c>
      <c r="B211" s="1"/>
      <c r="C211" s="1" t="s">
        <v>741</v>
      </c>
      <c r="E211" s="24">
        <v>31529.02</v>
      </c>
      <c r="G211" s="24">
        <v>3472.31</v>
      </c>
      <c r="I211" s="24">
        <v>9796.44</v>
      </c>
      <c r="K211" s="24">
        <v>0</v>
      </c>
      <c r="M211" s="24">
        <v>8942.34</v>
      </c>
      <c r="O211" s="24">
        <v>20897.54</v>
      </c>
      <c r="Q211" s="24">
        <v>96401.04</v>
      </c>
      <c r="S211" s="24">
        <v>0</v>
      </c>
      <c r="U211" s="24">
        <v>10046.34</v>
      </c>
      <c r="W211" s="24">
        <v>398.72</v>
      </c>
      <c r="Y211" s="24">
        <v>0</v>
      </c>
      <c r="AA211" s="24">
        <v>0</v>
      </c>
      <c r="AC211" s="24">
        <v>0</v>
      </c>
      <c r="AE211" s="24">
        <f t="shared" si="9"/>
        <v>181483.75</v>
      </c>
      <c r="AF211" s="24"/>
      <c r="AG211" s="24">
        <v>266733.51</v>
      </c>
      <c r="AH211" s="24"/>
      <c r="AI211" s="24">
        <v>235285.06</v>
      </c>
      <c r="AJ211" s="24"/>
      <c r="AK211" s="24">
        <v>502018.57</v>
      </c>
      <c r="AL211" s="24">
        <f>+'Gov Rev'!AI211-'Gov Exp'!AE211+'Gov Exp'!AI211-'Gov Exp'!AK211</f>
        <v>0</v>
      </c>
      <c r="AM211" s="15" t="str">
        <f>'Gov Rev'!A211</f>
        <v>Flushing</v>
      </c>
      <c r="AN211" s="15" t="str">
        <f t="shared" si="10"/>
        <v>Flushing</v>
      </c>
      <c r="AO211" s="15" t="b">
        <f t="shared" si="11"/>
        <v>1</v>
      </c>
    </row>
    <row r="212" spans="1:41" ht="12" customHeight="1" x14ac:dyDescent="0.2">
      <c r="A212" s="37" t="s">
        <v>398</v>
      </c>
      <c r="B212" s="37"/>
      <c r="C212" s="37" t="s">
        <v>396</v>
      </c>
      <c r="D212" s="37"/>
      <c r="E212" s="24">
        <v>239145</v>
      </c>
      <c r="G212" s="24">
        <v>6608</v>
      </c>
      <c r="I212" s="24">
        <v>119923</v>
      </c>
      <c r="K212" s="24">
        <v>21952</v>
      </c>
      <c r="M212" s="24">
        <v>0</v>
      </c>
      <c r="O212" s="24">
        <v>122624</v>
      </c>
      <c r="Q212" s="24">
        <v>139969</v>
      </c>
      <c r="S212" s="24">
        <v>0</v>
      </c>
      <c r="U212" s="24">
        <v>41308</v>
      </c>
      <c r="W212" s="24">
        <v>776</v>
      </c>
      <c r="Y212" s="24">
        <v>77126</v>
      </c>
      <c r="AA212" s="24">
        <v>0</v>
      </c>
      <c r="AC212" s="24">
        <v>0</v>
      </c>
      <c r="AE212" s="24">
        <f t="shared" si="9"/>
        <v>769431</v>
      </c>
      <c r="AF212" s="24"/>
      <c r="AG212" s="24">
        <v>-136401</v>
      </c>
      <c r="AH212" s="24"/>
      <c r="AI212" s="24">
        <v>591952</v>
      </c>
      <c r="AJ212" s="24"/>
      <c r="AK212" s="24">
        <v>455551</v>
      </c>
      <c r="AL212" s="24">
        <f>+'Gov Rev'!AI212-'Gov Exp'!AE212+'Gov Exp'!AI212-'Gov Exp'!AK212</f>
        <v>0</v>
      </c>
      <c r="AM212" s="15" t="str">
        <f>'Gov Rev'!A212</f>
        <v>Forest</v>
      </c>
      <c r="AN212" s="15" t="str">
        <f t="shared" si="10"/>
        <v>Forest</v>
      </c>
      <c r="AO212" s="15" t="b">
        <f t="shared" si="11"/>
        <v>1</v>
      </c>
    </row>
    <row r="213" spans="1:41" ht="12" customHeight="1" x14ac:dyDescent="0.2">
      <c r="A213" s="1" t="s">
        <v>204</v>
      </c>
      <c r="B213" s="1"/>
      <c r="C213" s="1" t="s">
        <v>797</v>
      </c>
      <c r="E213" s="24">
        <v>50644.74</v>
      </c>
      <c r="G213" s="24">
        <v>0</v>
      </c>
      <c r="I213" s="24">
        <v>16125.12</v>
      </c>
      <c r="K213" s="24">
        <v>0</v>
      </c>
      <c r="M213" s="24">
        <v>2785.98</v>
      </c>
      <c r="O213" s="24">
        <v>9949.6299999999992</v>
      </c>
      <c r="Q213" s="24">
        <v>93105.25</v>
      </c>
      <c r="S213" s="24">
        <v>2585.34</v>
      </c>
      <c r="U213" s="24">
        <v>0</v>
      </c>
      <c r="W213" s="24">
        <v>0</v>
      </c>
      <c r="Y213" s="24">
        <v>4000</v>
      </c>
      <c r="AA213" s="24">
        <v>0</v>
      </c>
      <c r="AC213" s="24">
        <v>0</v>
      </c>
      <c r="AE213" s="24">
        <f t="shared" si="9"/>
        <v>179196.06</v>
      </c>
      <c r="AF213" s="24"/>
      <c r="AG213" s="24">
        <v>39306.379999999997</v>
      </c>
      <c r="AH213" s="24"/>
      <c r="AI213" s="24">
        <v>487181.77</v>
      </c>
      <c r="AJ213" s="24"/>
      <c r="AK213" s="24">
        <v>526488.15</v>
      </c>
      <c r="AL213" s="24">
        <f>+'Gov Rev'!AI213-'Gov Exp'!AE213+'Gov Exp'!AI213-'Gov Exp'!AK213</f>
        <v>0</v>
      </c>
      <c r="AM213" s="15" t="str">
        <f>'Gov Rev'!A213</f>
        <v>Fort Jennings</v>
      </c>
      <c r="AN213" s="15" t="str">
        <f t="shared" si="10"/>
        <v>Fort Jennings</v>
      </c>
      <c r="AO213" s="15" t="b">
        <f t="shared" si="11"/>
        <v>1</v>
      </c>
    </row>
    <row r="214" spans="1:41" ht="12" customHeight="1" x14ac:dyDescent="0.2">
      <c r="A214" s="1" t="s">
        <v>222</v>
      </c>
      <c r="B214" s="1"/>
      <c r="C214" s="1" t="s">
        <v>803</v>
      </c>
      <c r="E214" s="24">
        <v>159627.92000000001</v>
      </c>
      <c r="G214" s="24">
        <v>9160</v>
      </c>
      <c r="I214" s="24">
        <v>12986.45</v>
      </c>
      <c r="K214" s="24">
        <v>0</v>
      </c>
      <c r="M214" s="24">
        <v>85696.3</v>
      </c>
      <c r="O214" s="24">
        <v>132605.07</v>
      </c>
      <c r="Q214" s="24">
        <v>178223.78</v>
      </c>
      <c r="S214" s="24">
        <v>888126.43</v>
      </c>
      <c r="U214" s="24">
        <v>120531.31</v>
      </c>
      <c r="W214" s="24">
        <v>6132.75</v>
      </c>
      <c r="Y214" s="24">
        <v>0</v>
      </c>
      <c r="AA214" s="24">
        <v>0</v>
      </c>
      <c r="AC214" s="24">
        <v>0</v>
      </c>
      <c r="AE214" s="24">
        <f t="shared" si="9"/>
        <v>1593090.0100000002</v>
      </c>
      <c r="AF214" s="24"/>
      <c r="AG214" s="24">
        <v>-26232.16</v>
      </c>
      <c r="AH214" s="24"/>
      <c r="AI214" s="24">
        <v>1123498.22</v>
      </c>
      <c r="AJ214" s="24"/>
      <c r="AK214" s="24">
        <v>1097266.06</v>
      </c>
      <c r="AL214" s="24">
        <f>+'Gov Rev'!AI214-'Gov Exp'!AE214+'Gov Exp'!AI214-'Gov Exp'!AK214</f>
        <v>0</v>
      </c>
      <c r="AM214" s="15" t="str">
        <f>'Gov Rev'!A214</f>
        <v>Fort Loramie</v>
      </c>
      <c r="AN214" s="15" t="str">
        <f t="shared" si="10"/>
        <v>Fort Loramie</v>
      </c>
      <c r="AO214" s="15" t="b">
        <f t="shared" si="11"/>
        <v>1</v>
      </c>
    </row>
    <row r="215" spans="1:41" s="31" customFormat="1" ht="12" customHeight="1" x14ac:dyDescent="0.2">
      <c r="A215" s="15" t="s">
        <v>467</v>
      </c>
      <c r="B215" s="15"/>
      <c r="C215" s="15" t="s">
        <v>466</v>
      </c>
      <c r="D215" s="15"/>
      <c r="E215" s="24">
        <v>139664</v>
      </c>
      <c r="F215" s="24"/>
      <c r="G215" s="24">
        <v>32235</v>
      </c>
      <c r="H215" s="24"/>
      <c r="I215" s="24">
        <v>109483</v>
      </c>
      <c r="J215" s="24"/>
      <c r="K215" s="24">
        <v>2900</v>
      </c>
      <c r="L215" s="24"/>
      <c r="M215" s="24">
        <v>10833</v>
      </c>
      <c r="N215" s="24"/>
      <c r="O215" s="24">
        <v>140971</v>
      </c>
      <c r="P215" s="24"/>
      <c r="Q215" s="24">
        <v>334205</v>
      </c>
      <c r="R215" s="24"/>
      <c r="S215" s="24">
        <v>196402</v>
      </c>
      <c r="T215" s="24"/>
      <c r="U215" s="24">
        <v>22894</v>
      </c>
      <c r="V215" s="24"/>
      <c r="W215" s="24">
        <v>0</v>
      </c>
      <c r="X215" s="24"/>
      <c r="Y215" s="24">
        <v>266732</v>
      </c>
      <c r="Z215" s="24"/>
      <c r="AA215" s="24">
        <v>0</v>
      </c>
      <c r="AB215" s="24"/>
      <c r="AC215" s="24">
        <v>0</v>
      </c>
      <c r="AD215" s="24"/>
      <c r="AE215" s="24">
        <f t="shared" si="9"/>
        <v>1256319</v>
      </c>
      <c r="AF215" s="24"/>
      <c r="AG215" s="24">
        <v>233879</v>
      </c>
      <c r="AH215" s="24"/>
      <c r="AI215" s="24">
        <v>1983458</v>
      </c>
      <c r="AJ215" s="24"/>
      <c r="AK215" s="24">
        <v>2217336</v>
      </c>
      <c r="AL215" s="24">
        <f>+'Gov Rev'!AI215-'Gov Exp'!AE215+'Gov Exp'!AI215-'Gov Exp'!AK215</f>
        <v>0</v>
      </c>
      <c r="AM215" s="15" t="str">
        <f>'Gov Rev'!A215</f>
        <v>Fort Recovery</v>
      </c>
      <c r="AN215" s="15" t="str">
        <f t="shared" si="10"/>
        <v>Fort Recovery</v>
      </c>
      <c r="AO215" s="15" t="b">
        <f t="shared" si="11"/>
        <v>1</v>
      </c>
    </row>
    <row r="216" spans="1:41" ht="12" customHeight="1" x14ac:dyDescent="0.2">
      <c r="A216" s="1" t="s">
        <v>923</v>
      </c>
      <c r="B216" s="1"/>
      <c r="C216" s="1" t="s">
        <v>703</v>
      </c>
      <c r="D216" s="28"/>
      <c r="E216" s="24">
        <v>137884.17000000001</v>
      </c>
      <c r="G216" s="24">
        <v>0</v>
      </c>
      <c r="I216" s="24">
        <v>0</v>
      </c>
      <c r="K216" s="24">
        <v>911.47</v>
      </c>
      <c r="M216" s="24">
        <v>0</v>
      </c>
      <c r="O216" s="24">
        <v>133800.73000000001</v>
      </c>
      <c r="Q216" s="24">
        <v>100323.41</v>
      </c>
      <c r="S216" s="24">
        <v>0</v>
      </c>
      <c r="U216" s="24">
        <v>0</v>
      </c>
      <c r="W216" s="24">
        <v>0</v>
      </c>
      <c r="Y216" s="24">
        <v>4825.8</v>
      </c>
      <c r="AA216" s="24">
        <v>0</v>
      </c>
      <c r="AC216" s="24">
        <v>0</v>
      </c>
      <c r="AE216" s="24">
        <f t="shared" si="9"/>
        <v>377745.58</v>
      </c>
      <c r="AF216" s="24"/>
      <c r="AG216" s="24">
        <v>204956.1</v>
      </c>
      <c r="AH216" s="24"/>
      <c r="AI216" s="24">
        <v>178522.55</v>
      </c>
      <c r="AJ216" s="24"/>
      <c r="AK216" s="24">
        <v>383478.65</v>
      </c>
      <c r="AL216" s="24">
        <f>+'Gov Rev'!AI216-'Gov Exp'!AE216+'Gov Exp'!AI216-'Gov Exp'!AK216</f>
        <v>0</v>
      </c>
      <c r="AM216" s="15" t="str">
        <f>'Gov Rev'!A216</f>
        <v>Fort Shawnee</v>
      </c>
      <c r="AN216" s="15" t="str">
        <f t="shared" si="10"/>
        <v>Fort Shawnee</v>
      </c>
      <c r="AO216" s="15" t="b">
        <f t="shared" si="11"/>
        <v>1</v>
      </c>
    </row>
    <row r="217" spans="1:41" s="31" customFormat="1" ht="12" customHeight="1" x14ac:dyDescent="0.2">
      <c r="A217" s="1" t="s">
        <v>212</v>
      </c>
      <c r="B217" s="1"/>
      <c r="C217" s="1" t="s">
        <v>799</v>
      </c>
      <c r="D217" s="15"/>
      <c r="E217" s="24">
        <v>16341.5</v>
      </c>
      <c r="F217" s="24"/>
      <c r="G217" s="24">
        <v>0</v>
      </c>
      <c r="H217" s="24"/>
      <c r="I217" s="24">
        <v>2349</v>
      </c>
      <c r="J217" s="24"/>
      <c r="K217" s="24">
        <v>0</v>
      </c>
      <c r="L217" s="24"/>
      <c r="M217" s="24">
        <v>16881.62</v>
      </c>
      <c r="N217" s="24"/>
      <c r="O217" s="24">
        <v>18115.580000000002</v>
      </c>
      <c r="P217" s="24"/>
      <c r="Q217" s="24">
        <v>81369.69</v>
      </c>
      <c r="R217" s="24"/>
      <c r="S217" s="24">
        <v>549.20000000000005</v>
      </c>
      <c r="T217" s="24"/>
      <c r="U217" s="24">
        <v>0</v>
      </c>
      <c r="V217" s="24"/>
      <c r="W217" s="24">
        <v>0</v>
      </c>
      <c r="X217" s="24"/>
      <c r="Y217" s="24">
        <v>20833.34</v>
      </c>
      <c r="Z217" s="24"/>
      <c r="AA217" s="24">
        <v>0</v>
      </c>
      <c r="AB217" s="24"/>
      <c r="AC217" s="24">
        <v>0</v>
      </c>
      <c r="AD217" s="24"/>
      <c r="AE217" s="24">
        <f t="shared" si="9"/>
        <v>156439.93000000002</v>
      </c>
      <c r="AF217" s="24"/>
      <c r="AG217" s="24">
        <v>24821.25</v>
      </c>
      <c r="AH217" s="24"/>
      <c r="AI217" s="24">
        <v>840621.2</v>
      </c>
      <c r="AJ217" s="24"/>
      <c r="AK217" s="24">
        <v>865442.45</v>
      </c>
      <c r="AL217" s="24">
        <f>+'Gov Rev'!AI217-'Gov Exp'!AE217+'Gov Exp'!AI217-'Gov Exp'!AK217</f>
        <v>0</v>
      </c>
      <c r="AM217" s="15" t="str">
        <f>'Gov Rev'!A217</f>
        <v>Frankfort</v>
      </c>
      <c r="AN217" s="15" t="str">
        <f t="shared" si="10"/>
        <v>Frankfort</v>
      </c>
      <c r="AO217" s="15" t="b">
        <f t="shared" si="11"/>
        <v>1</v>
      </c>
    </row>
    <row r="218" spans="1:41" ht="12" customHeight="1" x14ac:dyDescent="0.2">
      <c r="A218" s="1" t="s">
        <v>175</v>
      </c>
      <c r="B218" s="1"/>
      <c r="C218" s="1" t="s">
        <v>789</v>
      </c>
      <c r="E218" s="24">
        <v>195855.07</v>
      </c>
      <c r="G218" s="24">
        <v>0</v>
      </c>
      <c r="I218" s="24">
        <v>38061.980000000003</v>
      </c>
      <c r="K218" s="24">
        <v>15942.48</v>
      </c>
      <c r="M218" s="24">
        <v>23815</v>
      </c>
      <c r="O218" s="24">
        <v>51827.31</v>
      </c>
      <c r="Q218" s="24">
        <v>88514.01</v>
      </c>
      <c r="S218" s="24">
        <v>12766.5</v>
      </c>
      <c r="U218" s="24">
        <v>0</v>
      </c>
      <c r="W218" s="24">
        <v>0</v>
      </c>
      <c r="Y218" s="24">
        <v>5081.26</v>
      </c>
      <c r="AA218" s="24">
        <v>0</v>
      </c>
      <c r="AC218" s="24">
        <v>0</v>
      </c>
      <c r="AE218" s="24">
        <f t="shared" si="9"/>
        <v>431863.61000000004</v>
      </c>
      <c r="AF218" s="24"/>
      <c r="AG218" s="24">
        <v>45885.96</v>
      </c>
      <c r="AH218" s="24"/>
      <c r="AI218" s="24">
        <v>137645.13</v>
      </c>
      <c r="AJ218" s="24"/>
      <c r="AK218" s="24">
        <v>183531.09</v>
      </c>
      <c r="AL218" s="24">
        <f>+'Gov Rev'!AI218-'Gov Exp'!AE218+'Gov Exp'!AI218-'Gov Exp'!AK218</f>
        <v>0</v>
      </c>
      <c r="AM218" s="15" t="str">
        <f>'Gov Rev'!A218</f>
        <v>Frazeysburg</v>
      </c>
      <c r="AN218" s="15" t="str">
        <f t="shared" si="10"/>
        <v>Frazeysburg</v>
      </c>
      <c r="AO218" s="15" t="b">
        <f t="shared" si="11"/>
        <v>1</v>
      </c>
    </row>
    <row r="219" spans="1:41" ht="12" customHeight="1" x14ac:dyDescent="0.2">
      <c r="A219" s="15" t="s">
        <v>593</v>
      </c>
      <c r="C219" s="15" t="s">
        <v>588</v>
      </c>
      <c r="E219" s="24">
        <v>32430</v>
      </c>
      <c r="G219" s="24">
        <v>1606</v>
      </c>
      <c r="I219" s="24">
        <v>1815</v>
      </c>
      <c r="K219" s="24">
        <v>0</v>
      </c>
      <c r="M219" s="24">
        <v>0</v>
      </c>
      <c r="O219" s="24">
        <v>28280</v>
      </c>
      <c r="Q219" s="24">
        <v>54497</v>
      </c>
      <c r="S219" s="24">
        <v>0</v>
      </c>
      <c r="U219" s="24">
        <v>0</v>
      </c>
      <c r="W219" s="24">
        <v>0</v>
      </c>
      <c r="Y219" s="24">
        <v>0</v>
      </c>
      <c r="AA219" s="24">
        <v>0</v>
      </c>
      <c r="AC219" s="24">
        <v>0</v>
      </c>
      <c r="AE219" s="24">
        <f t="shared" si="9"/>
        <v>118628</v>
      </c>
      <c r="AF219" s="24"/>
      <c r="AG219" s="24">
        <v>32659</v>
      </c>
      <c r="AH219" s="24"/>
      <c r="AI219" s="24">
        <v>123680</v>
      </c>
      <c r="AJ219" s="24"/>
      <c r="AK219" s="24">
        <v>156339</v>
      </c>
      <c r="AL219" s="24">
        <f>+'Gov Rev'!AI219-'Gov Exp'!AE219+'Gov Exp'!AI219-'Gov Exp'!AK219</f>
        <v>0</v>
      </c>
      <c r="AM219" s="15" t="str">
        <f>'Gov Rev'!A219</f>
        <v>Fredericksburg</v>
      </c>
      <c r="AN219" s="15" t="str">
        <f t="shared" si="10"/>
        <v>Fredericksburg</v>
      </c>
      <c r="AO219" s="15" t="b">
        <f t="shared" si="11"/>
        <v>1</v>
      </c>
    </row>
    <row r="220" spans="1:41" ht="12" customHeight="1" x14ac:dyDescent="0.2">
      <c r="A220" s="1"/>
      <c r="B220" s="1"/>
      <c r="C220" s="1"/>
      <c r="AE220" s="24"/>
      <c r="AF220" s="24"/>
      <c r="AG220" s="24"/>
      <c r="AH220" s="24"/>
      <c r="AI220" s="24"/>
      <c r="AJ220" s="24"/>
      <c r="AK220" s="24"/>
      <c r="AL220" s="24"/>
    </row>
    <row r="221" spans="1:41" ht="12" customHeight="1" x14ac:dyDescent="0.2">
      <c r="A221" s="1"/>
      <c r="B221" s="1"/>
      <c r="C221" s="1"/>
      <c r="AE221" s="77" t="s">
        <v>850</v>
      </c>
      <c r="AF221" s="24"/>
      <c r="AG221" s="24"/>
      <c r="AH221" s="24"/>
      <c r="AI221" s="24"/>
      <c r="AJ221" s="24"/>
      <c r="AK221" s="24"/>
      <c r="AL221" s="24"/>
    </row>
    <row r="222" spans="1:41" ht="12" customHeight="1" x14ac:dyDescent="0.2">
      <c r="A222" s="1"/>
      <c r="B222" s="1"/>
      <c r="C222" s="1"/>
      <c r="AE222" s="24"/>
      <c r="AF222" s="24"/>
      <c r="AG222" s="24"/>
      <c r="AH222" s="24"/>
      <c r="AI222" s="24"/>
      <c r="AJ222" s="24"/>
      <c r="AK222" s="24"/>
      <c r="AL222" s="24"/>
    </row>
    <row r="223" spans="1:41" ht="12" customHeight="1" x14ac:dyDescent="0.2">
      <c r="A223" s="1" t="s">
        <v>428</v>
      </c>
      <c r="B223" s="1"/>
      <c r="C223" s="1" t="s">
        <v>427</v>
      </c>
      <c r="E223" s="91">
        <v>371435.78</v>
      </c>
      <c r="F223" s="91"/>
      <c r="G223" s="91">
        <v>500</v>
      </c>
      <c r="H223" s="91"/>
      <c r="I223" s="91">
        <v>1751.62</v>
      </c>
      <c r="J223" s="91"/>
      <c r="K223" s="91">
        <v>3822.42</v>
      </c>
      <c r="L223" s="91"/>
      <c r="M223" s="91">
        <v>6721.98</v>
      </c>
      <c r="N223" s="91"/>
      <c r="O223" s="91">
        <v>252326.06</v>
      </c>
      <c r="P223" s="91"/>
      <c r="Q223" s="91">
        <v>186584.76</v>
      </c>
      <c r="R223" s="91"/>
      <c r="S223" s="91">
        <v>0</v>
      </c>
      <c r="T223" s="91"/>
      <c r="U223" s="91">
        <v>0</v>
      </c>
      <c r="V223" s="91"/>
      <c r="W223" s="91">
        <v>0</v>
      </c>
      <c r="X223" s="91"/>
      <c r="Y223" s="91">
        <v>17089</v>
      </c>
      <c r="Z223" s="91"/>
      <c r="AA223" s="91">
        <v>0</v>
      </c>
      <c r="AB223" s="91"/>
      <c r="AC223" s="91">
        <v>11395.03</v>
      </c>
      <c r="AD223" s="91"/>
      <c r="AE223" s="91">
        <f t="shared" si="9"/>
        <v>851626.65</v>
      </c>
      <c r="AF223" s="24"/>
      <c r="AG223" s="24">
        <v>-15629.54</v>
      </c>
      <c r="AH223" s="24"/>
      <c r="AI223" s="24">
        <v>402702.1</v>
      </c>
      <c r="AJ223" s="24"/>
      <c r="AK223" s="24">
        <v>387072.56</v>
      </c>
      <c r="AL223" s="24">
        <f>+'Gov Rev'!AI220-'Gov Exp'!AE223+'Gov Exp'!AI223-'Gov Exp'!AK223</f>
        <v>0</v>
      </c>
      <c r="AM223" s="15" t="str">
        <f>'Gov Rev'!A220</f>
        <v>Fredericktown</v>
      </c>
      <c r="AN223" s="15" t="str">
        <f t="shared" si="10"/>
        <v>Fredericktown</v>
      </c>
      <c r="AO223" s="15" t="b">
        <f t="shared" si="11"/>
        <v>1</v>
      </c>
    </row>
    <row r="224" spans="1:41" ht="12" hidden="1" customHeight="1" x14ac:dyDescent="0.2">
      <c r="A224" s="1" t="s">
        <v>405</v>
      </c>
      <c r="B224" s="1"/>
      <c r="C224" s="1" t="s">
        <v>403</v>
      </c>
      <c r="AE224" s="24">
        <f t="shared" si="9"/>
        <v>0</v>
      </c>
      <c r="AF224" s="24"/>
      <c r="AG224" s="24"/>
      <c r="AH224" s="24"/>
      <c r="AI224" s="24"/>
      <c r="AJ224" s="24"/>
      <c r="AK224" s="24"/>
      <c r="AL224" s="24">
        <f>+'Gov Rev'!AI221-'Gov Exp'!AE224+'Gov Exp'!AI224-'Gov Exp'!AK224</f>
        <v>0</v>
      </c>
      <c r="AM224" s="15" t="str">
        <f>'Gov Rev'!A221</f>
        <v>Freeport</v>
      </c>
      <c r="AN224" s="15" t="str">
        <f t="shared" si="10"/>
        <v>Freeport</v>
      </c>
      <c r="AO224" s="15" t="b">
        <f t="shared" si="11"/>
        <v>1</v>
      </c>
    </row>
    <row r="225" spans="1:41" s="31" customFormat="1" ht="12" customHeight="1" x14ac:dyDescent="0.2">
      <c r="A225" s="1" t="s">
        <v>358</v>
      </c>
      <c r="B225" s="1"/>
      <c r="C225" s="1" t="s">
        <v>243</v>
      </c>
      <c r="D225" s="15"/>
      <c r="E225" s="24">
        <v>5204.5</v>
      </c>
      <c r="F225" s="24"/>
      <c r="G225" s="24">
        <v>192.41</v>
      </c>
      <c r="H225" s="24"/>
      <c r="I225" s="24">
        <v>0</v>
      </c>
      <c r="J225" s="24"/>
      <c r="K225" s="24">
        <v>0</v>
      </c>
      <c r="L225" s="24"/>
      <c r="M225" s="24">
        <v>0</v>
      </c>
      <c r="N225" s="24"/>
      <c r="O225" s="24">
        <v>4754.33</v>
      </c>
      <c r="P225" s="24"/>
      <c r="Q225" s="24">
        <v>16180.73</v>
      </c>
      <c r="R225" s="24"/>
      <c r="S225" s="24">
        <v>0</v>
      </c>
      <c r="T225" s="24"/>
      <c r="U225" s="24">
        <v>0</v>
      </c>
      <c r="V225" s="24"/>
      <c r="W225" s="24">
        <v>0</v>
      </c>
      <c r="X225" s="24"/>
      <c r="Y225" s="24">
        <v>0</v>
      </c>
      <c r="Z225" s="24"/>
      <c r="AA225" s="24">
        <v>0</v>
      </c>
      <c r="AB225" s="24"/>
      <c r="AC225" s="24">
        <v>0</v>
      </c>
      <c r="AD225" s="24"/>
      <c r="AE225" s="24">
        <f t="shared" si="9"/>
        <v>26331.97</v>
      </c>
      <c r="AF225" s="24"/>
      <c r="AG225" s="24">
        <v>15447.54</v>
      </c>
      <c r="AH225" s="24"/>
      <c r="AI225" s="24">
        <v>64384.15</v>
      </c>
      <c r="AJ225" s="24"/>
      <c r="AK225" s="24">
        <v>79831.69</v>
      </c>
      <c r="AL225" s="24">
        <f>+'Gov Rev'!AI222-'Gov Exp'!AE225+'Gov Exp'!AI225-'Gov Exp'!AK225</f>
        <v>0</v>
      </c>
      <c r="AM225" s="15" t="str">
        <f>'Gov Rev'!A222</f>
        <v>Fulton</v>
      </c>
      <c r="AN225" s="15" t="str">
        <f t="shared" si="10"/>
        <v>Fulton</v>
      </c>
      <c r="AO225" s="15" t="b">
        <f t="shared" si="11"/>
        <v>1</v>
      </c>
    </row>
    <row r="226" spans="1:41" ht="12" customHeight="1" x14ac:dyDescent="0.2">
      <c r="A226" s="1" t="s">
        <v>485</v>
      </c>
      <c r="B226" s="1"/>
      <c r="C226" s="1" t="s">
        <v>484</v>
      </c>
      <c r="E226" s="24">
        <v>1676.5</v>
      </c>
      <c r="G226" s="24">
        <v>0</v>
      </c>
      <c r="I226" s="24">
        <v>0</v>
      </c>
      <c r="K226" s="24">
        <v>0</v>
      </c>
      <c r="M226" s="24">
        <v>3152.5</v>
      </c>
      <c r="O226" s="24">
        <v>3821.55</v>
      </c>
      <c r="Q226" s="24">
        <v>15347.83</v>
      </c>
      <c r="S226" s="24">
        <v>0</v>
      </c>
      <c r="U226" s="24">
        <v>0</v>
      </c>
      <c r="W226" s="24">
        <v>0</v>
      </c>
      <c r="Y226" s="24">
        <v>0</v>
      </c>
      <c r="AA226" s="24">
        <v>0</v>
      </c>
      <c r="AC226" s="24">
        <v>0</v>
      </c>
      <c r="AE226" s="24">
        <f t="shared" si="9"/>
        <v>23998.379999999997</v>
      </c>
      <c r="AF226" s="24"/>
      <c r="AG226" s="24">
        <v>-10738.13</v>
      </c>
      <c r="AH226" s="24"/>
      <c r="AI226" s="24">
        <v>45561.07</v>
      </c>
      <c r="AJ226" s="24"/>
      <c r="AK226" s="24">
        <v>34822.94</v>
      </c>
      <c r="AL226" s="24">
        <f>+'Gov Rev'!AI223-'Gov Exp'!AE226+'Gov Exp'!AI226-'Gov Exp'!AK226</f>
        <v>0</v>
      </c>
      <c r="AM226" s="15" t="str">
        <f>'Gov Rev'!A223</f>
        <v>Fultonham</v>
      </c>
      <c r="AN226" s="15" t="str">
        <f t="shared" si="10"/>
        <v>Fultonham</v>
      </c>
      <c r="AO226" s="15" t="b">
        <f t="shared" si="11"/>
        <v>1</v>
      </c>
    </row>
    <row r="227" spans="1:41" ht="12" customHeight="1" x14ac:dyDescent="0.2">
      <c r="A227" s="1" t="s">
        <v>57</v>
      </c>
      <c r="B227" s="1"/>
      <c r="C227" s="1" t="s">
        <v>754</v>
      </c>
      <c r="E227" s="24">
        <v>0</v>
      </c>
      <c r="G227" s="24">
        <v>0</v>
      </c>
      <c r="I227" s="24">
        <v>47475.91</v>
      </c>
      <c r="K227" s="24">
        <v>16292.3</v>
      </c>
      <c r="M227" s="24">
        <v>0</v>
      </c>
      <c r="O227" s="24">
        <v>49403.92</v>
      </c>
      <c r="Q227" s="24">
        <v>328972.84999999998</v>
      </c>
      <c r="S227" s="24">
        <v>72106.22</v>
      </c>
      <c r="U227" s="24">
        <v>10000</v>
      </c>
      <c r="W227" s="24">
        <v>20439.96</v>
      </c>
      <c r="Y227" s="24">
        <v>0</v>
      </c>
      <c r="AA227" s="24">
        <v>0</v>
      </c>
      <c r="AC227" s="24">
        <v>0</v>
      </c>
      <c r="AE227" s="24">
        <f t="shared" si="9"/>
        <v>544691.15999999992</v>
      </c>
      <c r="AF227" s="24"/>
      <c r="AG227" s="24">
        <v>-98325.53</v>
      </c>
      <c r="AH227" s="24"/>
      <c r="AI227" s="24">
        <v>514230.17</v>
      </c>
      <c r="AJ227" s="24"/>
      <c r="AK227" s="24">
        <v>415904.64</v>
      </c>
      <c r="AL227" s="24">
        <f>+'Gov Rev'!AI224-'Gov Exp'!AE227+'Gov Exp'!AI227-'Gov Exp'!AK227</f>
        <v>0</v>
      </c>
      <c r="AM227" s="15" t="str">
        <f>'Gov Rev'!A224</f>
        <v>Galena</v>
      </c>
      <c r="AN227" s="15" t="str">
        <f t="shared" si="10"/>
        <v>Galena</v>
      </c>
      <c r="AO227" s="15" t="b">
        <f t="shared" si="11"/>
        <v>1</v>
      </c>
    </row>
    <row r="228" spans="1:41" ht="12" customHeight="1" x14ac:dyDescent="0.2">
      <c r="A228" s="15" t="s">
        <v>363</v>
      </c>
      <c r="C228" s="15" t="s">
        <v>364</v>
      </c>
      <c r="E228" s="24">
        <f>1141698+205572</f>
        <v>1347270</v>
      </c>
      <c r="G228" s="24">
        <v>194729</v>
      </c>
      <c r="I228" s="24">
        <v>249164</v>
      </c>
      <c r="K228" s="24">
        <v>98675</v>
      </c>
      <c r="M228" s="24">
        <v>0</v>
      </c>
      <c r="O228" s="24">
        <v>534407</v>
      </c>
      <c r="Q228" s="24">
        <f>1248506+653702</f>
        <v>1902208</v>
      </c>
      <c r="S228" s="24">
        <v>2548791</v>
      </c>
      <c r="U228" s="24">
        <v>277315</v>
      </c>
      <c r="W228" s="24">
        <v>165921</v>
      </c>
      <c r="Y228" s="24">
        <v>1142035</v>
      </c>
      <c r="AA228" s="24">
        <v>239685</v>
      </c>
      <c r="AC228" s="24">
        <v>0</v>
      </c>
      <c r="AE228" s="24">
        <f t="shared" si="9"/>
        <v>8700200</v>
      </c>
      <c r="AF228" s="24"/>
      <c r="AG228" s="24">
        <v>-2151390</v>
      </c>
      <c r="AH228" s="24"/>
      <c r="AI228" s="24">
        <v>4250157</v>
      </c>
      <c r="AJ228" s="24"/>
      <c r="AK228" s="24">
        <v>2098767</v>
      </c>
      <c r="AL228" s="24">
        <f>+'Gov Rev'!AI225-'Gov Exp'!AE228+'Gov Exp'!AI228-'Gov Exp'!AK228</f>
        <v>0</v>
      </c>
      <c r="AM228" s="15" t="str">
        <f>'Gov Rev'!A225</f>
        <v>Gallipolis</v>
      </c>
      <c r="AN228" s="15" t="str">
        <f t="shared" si="10"/>
        <v>Gallipolis</v>
      </c>
      <c r="AO228" s="15" t="b">
        <f t="shared" si="11"/>
        <v>1</v>
      </c>
    </row>
    <row r="229" spans="1:41" ht="12" customHeight="1" x14ac:dyDescent="0.2">
      <c r="A229" s="15" t="s">
        <v>887</v>
      </c>
      <c r="C229" s="15" t="s">
        <v>771</v>
      </c>
      <c r="D229" s="28"/>
      <c r="E229" s="24">
        <v>153930</v>
      </c>
      <c r="G229" s="24">
        <v>3965</v>
      </c>
      <c r="I229" s="24">
        <v>7192</v>
      </c>
      <c r="K229" s="24">
        <v>3074</v>
      </c>
      <c r="M229" s="24">
        <v>41839</v>
      </c>
      <c r="O229" s="24">
        <v>32808</v>
      </c>
      <c r="Q229" s="24">
        <f>369257+2</f>
        <v>369259</v>
      </c>
      <c r="S229" s="24">
        <v>247913</v>
      </c>
      <c r="U229" s="24">
        <v>0</v>
      </c>
      <c r="W229" s="24">
        <v>0</v>
      </c>
      <c r="Y229" s="24">
        <v>0</v>
      </c>
      <c r="AA229" s="24">
        <v>0</v>
      </c>
      <c r="AC229" s="24">
        <v>0</v>
      </c>
      <c r="AE229" s="24">
        <f t="shared" si="9"/>
        <v>859980</v>
      </c>
      <c r="AF229" s="24"/>
      <c r="AG229" s="24">
        <v>-65652</v>
      </c>
      <c r="AH229" s="24"/>
      <c r="AI229" s="24">
        <v>740757</v>
      </c>
      <c r="AJ229" s="24"/>
      <c r="AK229" s="24">
        <v>675105</v>
      </c>
      <c r="AL229" s="24">
        <f>+'Gov Rev'!AI226-'Gov Exp'!AE229+'Gov Exp'!AI229-'Gov Exp'!AK229</f>
        <v>0</v>
      </c>
      <c r="AM229" s="15" t="str">
        <f>'Gov Rev'!A226</f>
        <v>Gambier</v>
      </c>
      <c r="AN229" s="15" t="str">
        <f t="shared" si="10"/>
        <v>Gambier</v>
      </c>
      <c r="AO229" s="15" t="b">
        <f t="shared" si="11"/>
        <v>1</v>
      </c>
    </row>
    <row r="230" spans="1:41" ht="12" hidden="1" customHeight="1" x14ac:dyDescent="0.2">
      <c r="A230" s="1" t="s">
        <v>122</v>
      </c>
      <c r="B230" s="1"/>
      <c r="C230" s="1" t="s">
        <v>427</v>
      </c>
      <c r="AE230" s="24">
        <f t="shared" si="9"/>
        <v>0</v>
      </c>
      <c r="AF230" s="24"/>
      <c r="AG230" s="24"/>
      <c r="AH230" s="24"/>
      <c r="AI230" s="24"/>
      <c r="AJ230" s="24"/>
      <c r="AK230" s="24"/>
      <c r="AL230" s="24">
        <f>+'Gov Rev'!AI227-'Gov Exp'!AE230+'Gov Exp'!AI230-'Gov Exp'!AK230</f>
        <v>0</v>
      </c>
      <c r="AM230" s="15" t="str">
        <f>'Gov Rev'!A227</f>
        <v>Gann</v>
      </c>
      <c r="AN230" s="15" t="str">
        <f t="shared" si="10"/>
        <v>Gann</v>
      </c>
      <c r="AO230" s="15" t="b">
        <f t="shared" si="11"/>
        <v>1</v>
      </c>
    </row>
    <row r="231" spans="1:41" ht="12" customHeight="1" x14ac:dyDescent="0.2">
      <c r="A231" s="15" t="s">
        <v>507</v>
      </c>
      <c r="C231" s="15" t="s">
        <v>259</v>
      </c>
      <c r="E231" s="24">
        <v>872831</v>
      </c>
      <c r="G231" s="24">
        <v>4301</v>
      </c>
      <c r="I231" s="24">
        <v>63924</v>
      </c>
      <c r="K231" s="24">
        <v>12863</v>
      </c>
      <c r="M231" s="24">
        <v>10428</v>
      </c>
      <c r="O231" s="24">
        <v>292792</v>
      </c>
      <c r="Q231" s="24">
        <v>338965</v>
      </c>
      <c r="S231" s="24">
        <v>119741</v>
      </c>
      <c r="U231" s="24">
        <v>20000</v>
      </c>
      <c r="W231" s="24">
        <v>3343</v>
      </c>
      <c r="Y231" s="24">
        <v>9236</v>
      </c>
      <c r="AA231" s="24">
        <v>0</v>
      </c>
      <c r="AC231" s="24">
        <v>0</v>
      </c>
      <c r="AE231" s="24">
        <f t="shared" si="9"/>
        <v>1748424</v>
      </c>
      <c r="AF231" s="24"/>
      <c r="AG231" s="24">
        <v>10717</v>
      </c>
      <c r="AH231" s="24"/>
      <c r="AI231" s="24">
        <f>AK231-AG231</f>
        <v>667186</v>
      </c>
      <c r="AJ231" s="24"/>
      <c r="AK231" s="24">
        <v>677903</v>
      </c>
      <c r="AL231" s="24">
        <f>+'Gov Rev'!AI228-'Gov Exp'!AE231+'Gov Exp'!AI231-'Gov Exp'!AK231</f>
        <v>0</v>
      </c>
      <c r="AM231" s="15" t="str">
        <f>'Gov Rev'!A228</f>
        <v>Garrettsville</v>
      </c>
      <c r="AN231" s="15" t="str">
        <f t="shared" si="10"/>
        <v>Garrettsville</v>
      </c>
      <c r="AO231" s="15" t="b">
        <f t="shared" si="11"/>
        <v>1</v>
      </c>
    </row>
    <row r="232" spans="1:41" s="31" customFormat="1" ht="12" customHeight="1" x14ac:dyDescent="0.2">
      <c r="A232" s="15" t="s">
        <v>320</v>
      </c>
      <c r="B232" s="15"/>
      <c r="C232" s="15" t="s">
        <v>316</v>
      </c>
      <c r="D232" s="15"/>
      <c r="E232" s="24">
        <v>1859527</v>
      </c>
      <c r="F232" s="24"/>
      <c r="G232" s="24">
        <v>14002</v>
      </c>
      <c r="H232" s="24"/>
      <c r="I232" s="24">
        <v>234400</v>
      </c>
      <c r="J232" s="24"/>
      <c r="K232" s="24">
        <v>4224</v>
      </c>
      <c r="L232" s="24"/>
      <c r="M232" s="24">
        <v>48161</v>
      </c>
      <c r="N232" s="24"/>
      <c r="O232" s="24">
        <v>789902</v>
      </c>
      <c r="P232" s="24"/>
      <c r="Q232" s="24">
        <f>1314740+1</f>
        <v>1314741</v>
      </c>
      <c r="R232" s="24"/>
      <c r="S232" s="24">
        <v>485125</v>
      </c>
      <c r="T232" s="24"/>
      <c r="U232" s="24">
        <v>450000</v>
      </c>
      <c r="V232" s="24"/>
      <c r="W232" s="24">
        <v>5609</v>
      </c>
      <c r="X232" s="24"/>
      <c r="Y232" s="24">
        <v>619231</v>
      </c>
      <c r="Z232" s="24"/>
      <c r="AA232" s="24">
        <v>0</v>
      </c>
      <c r="AB232" s="24"/>
      <c r="AC232" s="24">
        <v>0</v>
      </c>
      <c r="AD232" s="24"/>
      <c r="AE232" s="24">
        <f t="shared" si="9"/>
        <v>5824922</v>
      </c>
      <c r="AF232" s="24"/>
      <c r="AG232" s="24">
        <v>69106</v>
      </c>
      <c r="AH232" s="24"/>
      <c r="AI232" s="24">
        <v>4326268</v>
      </c>
      <c r="AJ232" s="24"/>
      <c r="AK232" s="24">
        <v>4395374</v>
      </c>
      <c r="AL232" s="24">
        <f>+'Gov Rev'!AI229-'Gov Exp'!AE232+'Gov Exp'!AI232-'Gov Exp'!AK232</f>
        <v>0</v>
      </c>
      <c r="AM232" s="15" t="str">
        <f>'Gov Rev'!A229</f>
        <v>Gates Mills</v>
      </c>
      <c r="AN232" s="15" t="str">
        <f t="shared" si="10"/>
        <v>Gates Mills</v>
      </c>
      <c r="AO232" s="15" t="b">
        <f t="shared" si="11"/>
        <v>1</v>
      </c>
    </row>
    <row r="233" spans="1:41" s="31" customFormat="1" ht="12" customHeight="1" x14ac:dyDescent="0.2">
      <c r="A233" s="1" t="s">
        <v>269</v>
      </c>
      <c r="B233" s="1"/>
      <c r="C233" s="1" t="s">
        <v>738</v>
      </c>
      <c r="D233" s="15"/>
      <c r="E233" s="24">
        <v>466865.1</v>
      </c>
      <c r="F233" s="24"/>
      <c r="G233" s="24">
        <v>4370.9399999999996</v>
      </c>
      <c r="H233" s="24"/>
      <c r="I233" s="24">
        <v>0</v>
      </c>
      <c r="J233" s="24"/>
      <c r="K233" s="24">
        <v>0</v>
      </c>
      <c r="L233" s="24"/>
      <c r="M233" s="24">
        <v>0</v>
      </c>
      <c r="N233" s="24"/>
      <c r="O233" s="24">
        <v>137961.37</v>
      </c>
      <c r="P233" s="24"/>
      <c r="Q233" s="24">
        <v>203160.69</v>
      </c>
      <c r="R233" s="24"/>
      <c r="S233" s="24">
        <v>17642.330000000002</v>
      </c>
      <c r="T233" s="24"/>
      <c r="U233" s="24">
        <v>57169.08</v>
      </c>
      <c r="V233" s="24"/>
      <c r="W233" s="24">
        <v>34342.39</v>
      </c>
      <c r="X233" s="24"/>
      <c r="Y233" s="24">
        <v>37700</v>
      </c>
      <c r="Z233" s="24"/>
      <c r="AA233" s="24">
        <v>28200</v>
      </c>
      <c r="AB233" s="24"/>
      <c r="AC233" s="24">
        <v>0</v>
      </c>
      <c r="AD233" s="24"/>
      <c r="AE233" s="24">
        <f t="shared" si="9"/>
        <v>987411.89999999979</v>
      </c>
      <c r="AF233" s="24"/>
      <c r="AG233" s="24">
        <v>-43504.35</v>
      </c>
      <c r="AH233" s="24"/>
      <c r="AI233" s="24">
        <v>330264.90999999997</v>
      </c>
      <c r="AJ233" s="24"/>
      <c r="AK233" s="24">
        <v>286760.56</v>
      </c>
      <c r="AL233" s="24">
        <f>+'Gov Rev'!AI230-'Gov Exp'!AE233+'Gov Exp'!AI233-'Gov Exp'!AK233</f>
        <v>0</v>
      </c>
      <c r="AM233" s="15" t="str">
        <f>'Gov Rev'!A230</f>
        <v>Geneva On The Lake</v>
      </c>
      <c r="AN233" s="15" t="str">
        <f t="shared" si="10"/>
        <v>Geneva On The Lake</v>
      </c>
      <c r="AO233" s="15" t="b">
        <f t="shared" si="11"/>
        <v>1</v>
      </c>
    </row>
    <row r="234" spans="1:41" ht="12" customHeight="1" x14ac:dyDescent="0.2">
      <c r="A234" s="24" t="s">
        <v>493</v>
      </c>
      <c r="B234" s="24"/>
      <c r="C234" s="24" t="s">
        <v>207</v>
      </c>
      <c r="D234" s="24"/>
      <c r="E234" s="24">
        <v>415841</v>
      </c>
      <c r="G234" s="24">
        <v>6311</v>
      </c>
      <c r="I234" s="24">
        <v>106432</v>
      </c>
      <c r="K234" s="24">
        <v>20962</v>
      </c>
      <c r="M234" s="24">
        <v>0</v>
      </c>
      <c r="O234" s="24">
        <v>104997</v>
      </c>
      <c r="Q234" s="24">
        <v>407532</v>
      </c>
      <c r="S234" s="24">
        <v>499272</v>
      </c>
      <c r="U234" s="24">
        <v>768251</v>
      </c>
      <c r="W234" s="24">
        <v>265908</v>
      </c>
      <c r="Y234" s="24">
        <v>1343461</v>
      </c>
      <c r="AA234" s="24">
        <v>0</v>
      </c>
      <c r="AC234" s="24">
        <v>1000</v>
      </c>
      <c r="AE234" s="24">
        <f t="shared" si="9"/>
        <v>3939967</v>
      </c>
      <c r="AF234" s="24"/>
      <c r="AG234" s="24">
        <v>-667333</v>
      </c>
      <c r="AH234" s="24"/>
      <c r="AI234" s="24">
        <v>1195842</v>
      </c>
      <c r="AJ234" s="24"/>
      <c r="AK234" s="24">
        <v>528509</v>
      </c>
      <c r="AL234" s="24">
        <f>+'Gov Rev'!AI231-'Gov Exp'!AE234+'Gov Exp'!AI234-'Gov Exp'!AK234</f>
        <v>0</v>
      </c>
      <c r="AM234" s="15" t="str">
        <f>'Gov Rev'!A231</f>
        <v>Genoa</v>
      </c>
      <c r="AN234" s="15" t="str">
        <f t="shared" si="10"/>
        <v>Genoa</v>
      </c>
      <c r="AO234" s="15" t="b">
        <f t="shared" si="11"/>
        <v>1</v>
      </c>
    </row>
    <row r="235" spans="1:41" ht="12" customHeight="1" x14ac:dyDescent="0.2">
      <c r="A235" s="1" t="s">
        <v>22</v>
      </c>
      <c r="B235" s="1"/>
      <c r="C235" s="1" t="s">
        <v>742</v>
      </c>
      <c r="E235" s="24">
        <v>777498.26</v>
      </c>
      <c r="G235" s="24">
        <v>49848.82</v>
      </c>
      <c r="I235" s="24">
        <v>2433.56</v>
      </c>
      <c r="K235" s="24">
        <v>32107.759999999998</v>
      </c>
      <c r="M235" s="24">
        <v>0</v>
      </c>
      <c r="O235" s="24">
        <v>117226.78</v>
      </c>
      <c r="Q235" s="24">
        <v>307936.55</v>
      </c>
      <c r="S235" s="24">
        <v>445557.27</v>
      </c>
      <c r="U235" s="24">
        <v>55199.839999999997</v>
      </c>
      <c r="W235" s="24">
        <v>5238.5200000000004</v>
      </c>
      <c r="Y235" s="24">
        <v>0</v>
      </c>
      <c r="AA235" s="24">
        <v>0</v>
      </c>
      <c r="AC235" s="24">
        <v>5539.98</v>
      </c>
      <c r="AE235" s="24">
        <f t="shared" si="9"/>
        <v>1798587.34</v>
      </c>
      <c r="AF235" s="24"/>
      <c r="AG235" s="24">
        <v>9555.41</v>
      </c>
      <c r="AH235" s="24"/>
      <c r="AI235" s="24">
        <v>2939656.75</v>
      </c>
      <c r="AJ235" s="24"/>
      <c r="AK235" s="24">
        <v>2949212.1600000001</v>
      </c>
      <c r="AL235" s="24">
        <f>+'Gov Rev'!AI232-'Gov Exp'!AE235+'Gov Exp'!AI235-'Gov Exp'!AK235</f>
        <v>0</v>
      </c>
      <c r="AM235" s="15" t="str">
        <f>'Gov Rev'!A232</f>
        <v>Georgetown</v>
      </c>
      <c r="AN235" s="15" t="str">
        <f t="shared" si="10"/>
        <v>Georgetown</v>
      </c>
      <c r="AO235" s="15" t="b">
        <f t="shared" si="11"/>
        <v>1</v>
      </c>
    </row>
    <row r="236" spans="1:41" ht="12" hidden="1" customHeight="1" x14ac:dyDescent="0.2">
      <c r="A236" s="1" t="s">
        <v>480</v>
      </c>
      <c r="B236" s="1"/>
      <c r="C236" s="1" t="s">
        <v>786</v>
      </c>
      <c r="AE236" s="24">
        <f t="shared" si="9"/>
        <v>0</v>
      </c>
      <c r="AF236" s="24"/>
      <c r="AG236" s="24"/>
      <c r="AH236" s="24"/>
      <c r="AI236" s="24"/>
      <c r="AJ236" s="24"/>
      <c r="AK236" s="24"/>
      <c r="AL236" s="24">
        <f>+'Gov Rev'!AI233-'Gov Exp'!AE236+'Gov Exp'!AI236-'Gov Exp'!AK236</f>
        <v>0</v>
      </c>
      <c r="AM236" s="15" t="str">
        <f>'Gov Rev'!A233</f>
        <v>Germantown</v>
      </c>
      <c r="AN236" s="15" t="str">
        <f t="shared" si="10"/>
        <v>Germantown</v>
      </c>
      <c r="AO236" s="15" t="b">
        <f t="shared" si="11"/>
        <v>1</v>
      </c>
    </row>
    <row r="237" spans="1:41" ht="12" customHeight="1" x14ac:dyDescent="0.2">
      <c r="A237" s="1" t="s">
        <v>52</v>
      </c>
      <c r="B237" s="1"/>
      <c r="C237" s="1" t="s">
        <v>752</v>
      </c>
      <c r="E237" s="24">
        <v>55159.98</v>
      </c>
      <c r="G237" s="24">
        <v>1919</v>
      </c>
      <c r="I237" s="24">
        <v>4995.71</v>
      </c>
      <c r="K237" s="24">
        <v>2509.04</v>
      </c>
      <c r="M237" s="24">
        <v>0</v>
      </c>
      <c r="O237" s="24">
        <v>30640.07</v>
      </c>
      <c r="Q237" s="24">
        <v>42870.03</v>
      </c>
      <c r="S237" s="24">
        <v>20012.900000000001</v>
      </c>
      <c r="U237" s="24">
        <v>2781.56</v>
      </c>
      <c r="W237" s="24">
        <v>0</v>
      </c>
      <c r="Y237" s="24">
        <v>3004.4</v>
      </c>
      <c r="AA237" s="24">
        <v>22000</v>
      </c>
      <c r="AC237" s="24">
        <v>0</v>
      </c>
      <c r="AE237" s="24">
        <f t="shared" si="9"/>
        <v>185892.69</v>
      </c>
      <c r="AF237" s="24"/>
      <c r="AG237" s="24">
        <v>-28142.9</v>
      </c>
      <c r="AH237" s="24"/>
      <c r="AI237" s="24">
        <v>90707.04</v>
      </c>
      <c r="AJ237" s="24"/>
      <c r="AK237" s="24">
        <v>62564.14</v>
      </c>
      <c r="AL237" s="24">
        <f>+'Gov Rev'!AI234-'Gov Exp'!AE237+'Gov Exp'!AI237-'Gov Exp'!AK237</f>
        <v>0</v>
      </c>
      <c r="AM237" s="15" t="str">
        <f>'Gov Rev'!A234</f>
        <v>Gettysburg</v>
      </c>
      <c r="AN237" s="15" t="str">
        <f t="shared" si="10"/>
        <v>Gettysburg</v>
      </c>
      <c r="AO237" s="15" t="b">
        <f t="shared" si="11"/>
        <v>1</v>
      </c>
    </row>
    <row r="238" spans="1:41" ht="12" customHeight="1" x14ac:dyDescent="0.2">
      <c r="A238" s="1" t="s">
        <v>526</v>
      </c>
      <c r="B238" s="1"/>
      <c r="C238" s="1" t="s">
        <v>525</v>
      </c>
      <c r="E238" s="24">
        <v>422530.48</v>
      </c>
      <c r="G238" s="24">
        <v>1240.5999999999999</v>
      </c>
      <c r="I238" s="24">
        <v>41248.019999999997</v>
      </c>
      <c r="K238" s="24">
        <v>36182.550000000003</v>
      </c>
      <c r="M238" s="24">
        <v>0</v>
      </c>
      <c r="O238" s="24">
        <v>70009.740000000005</v>
      </c>
      <c r="Q238" s="24">
        <v>236199.78</v>
      </c>
      <c r="S238" s="24">
        <v>119202.26</v>
      </c>
      <c r="U238" s="24">
        <v>0</v>
      </c>
      <c r="W238" s="24">
        <v>0</v>
      </c>
      <c r="Y238" s="24">
        <v>105019.98</v>
      </c>
      <c r="AA238" s="24">
        <v>0</v>
      </c>
      <c r="AC238" s="24">
        <v>0</v>
      </c>
      <c r="AE238" s="24">
        <f t="shared" si="9"/>
        <v>1031633.41</v>
      </c>
      <c r="AF238" s="24"/>
      <c r="AG238" s="24">
        <v>27225.73</v>
      </c>
      <c r="AH238" s="24"/>
      <c r="AI238" s="24">
        <v>1170151.08</v>
      </c>
      <c r="AJ238" s="24"/>
      <c r="AK238" s="24">
        <v>1197376.81</v>
      </c>
      <c r="AL238" s="24">
        <f>+'Gov Rev'!AI238-'Gov Exp'!AE238+'Gov Exp'!AI238-'Gov Exp'!AK238</f>
        <v>0</v>
      </c>
      <c r="AM238" s="15" t="str">
        <f>'Gov Rev'!A238</f>
        <v>Gibsonburg</v>
      </c>
      <c r="AN238" s="15" t="str">
        <f t="shared" si="10"/>
        <v>Gibsonburg</v>
      </c>
      <c r="AO238" s="15" t="b">
        <f t="shared" si="11"/>
        <v>1</v>
      </c>
    </row>
    <row r="239" spans="1:41" ht="12" customHeight="1" x14ac:dyDescent="0.2">
      <c r="A239" s="1" t="s">
        <v>205</v>
      </c>
      <c r="B239" s="1"/>
      <c r="C239" s="1" t="s">
        <v>797</v>
      </c>
      <c r="D239" s="28"/>
      <c r="E239" s="24">
        <v>13250.32</v>
      </c>
      <c r="G239" s="24">
        <v>0</v>
      </c>
      <c r="I239" s="24">
        <v>15081.96</v>
      </c>
      <c r="K239" s="24">
        <v>0</v>
      </c>
      <c r="M239" s="24">
        <v>8365.4500000000007</v>
      </c>
      <c r="O239" s="24">
        <v>13851.67</v>
      </c>
      <c r="Q239" s="24">
        <v>34270.81</v>
      </c>
      <c r="S239" s="24">
        <v>0</v>
      </c>
      <c r="U239" s="24">
        <v>0</v>
      </c>
      <c r="W239" s="24">
        <v>0</v>
      </c>
      <c r="Y239" s="24">
        <v>0</v>
      </c>
      <c r="AA239" s="24">
        <v>0</v>
      </c>
      <c r="AC239" s="24">
        <v>0</v>
      </c>
      <c r="AE239" s="24">
        <f t="shared" si="9"/>
        <v>84820.209999999992</v>
      </c>
      <c r="AF239" s="24"/>
      <c r="AG239" s="24">
        <v>-13508.74</v>
      </c>
      <c r="AH239" s="24"/>
      <c r="AI239" s="24">
        <v>195713.04</v>
      </c>
      <c r="AJ239" s="24"/>
      <c r="AK239" s="24">
        <v>182204.3</v>
      </c>
      <c r="AL239" s="24">
        <f>+'Gov Rev'!AI239-'Gov Exp'!AE239+'Gov Exp'!AI239-'Gov Exp'!AK239</f>
        <v>0</v>
      </c>
      <c r="AM239" s="15" t="str">
        <f>'Gov Rev'!A239</f>
        <v>Gilboa</v>
      </c>
      <c r="AN239" s="15" t="str">
        <f t="shared" si="10"/>
        <v>Gilboa</v>
      </c>
      <c r="AO239" s="15" t="b">
        <f t="shared" si="11"/>
        <v>1</v>
      </c>
    </row>
    <row r="240" spans="1:41" ht="12" customHeight="1" x14ac:dyDescent="0.2">
      <c r="A240" s="1" t="s">
        <v>515</v>
      </c>
      <c r="B240" s="1"/>
      <c r="C240" s="1" t="s">
        <v>513</v>
      </c>
      <c r="E240" s="24">
        <v>79895.88</v>
      </c>
      <c r="G240" s="24">
        <v>4854.8599999999997</v>
      </c>
      <c r="I240" s="24">
        <v>17878.3</v>
      </c>
      <c r="K240" s="24">
        <v>1316</v>
      </c>
      <c r="M240" s="24">
        <v>57729.99</v>
      </c>
      <c r="O240" s="24">
        <v>24536.68</v>
      </c>
      <c r="Q240" s="24">
        <v>160242.03</v>
      </c>
      <c r="S240" s="24">
        <v>1115</v>
      </c>
      <c r="U240" s="24">
        <v>0</v>
      </c>
      <c r="W240" s="24">
        <v>0</v>
      </c>
      <c r="Y240" s="24">
        <v>50000</v>
      </c>
      <c r="AA240" s="24">
        <v>0</v>
      </c>
      <c r="AC240" s="24">
        <v>0</v>
      </c>
      <c r="AE240" s="24">
        <f t="shared" si="9"/>
        <v>397568.74</v>
      </c>
      <c r="AF240" s="24"/>
      <c r="AG240" s="24">
        <v>111852.24</v>
      </c>
      <c r="AH240" s="24"/>
      <c r="AI240" s="24">
        <v>357263.34</v>
      </c>
      <c r="AJ240" s="24"/>
      <c r="AK240" s="24">
        <v>469115.58</v>
      </c>
      <c r="AL240" s="24">
        <f>+'Gov Rev'!AI240-'Gov Exp'!AE240+'Gov Exp'!AI240-'Gov Exp'!AK240</f>
        <v>0</v>
      </c>
      <c r="AM240" s="15" t="str">
        <f>'Gov Rev'!A240</f>
        <v>Glandorf</v>
      </c>
      <c r="AN240" s="15" t="str">
        <f t="shared" si="10"/>
        <v>Glandorf</v>
      </c>
      <c r="AO240" s="15" t="b">
        <f t="shared" si="11"/>
        <v>1</v>
      </c>
    </row>
    <row r="241" spans="1:41" ht="12" customHeight="1" x14ac:dyDescent="0.2">
      <c r="A241" s="15" t="s">
        <v>381</v>
      </c>
      <c r="C241" s="15" t="s">
        <v>378</v>
      </c>
      <c r="E241" s="24">
        <v>1056149</v>
      </c>
      <c r="G241" s="24">
        <v>5970</v>
      </c>
      <c r="I241" s="24">
        <v>46859</v>
      </c>
      <c r="K241" s="24">
        <v>1636</v>
      </c>
      <c r="M241" s="24">
        <v>395078</v>
      </c>
      <c r="O241" s="24">
        <v>293455</v>
      </c>
      <c r="Q241" s="24">
        <v>500038</v>
      </c>
      <c r="S241" s="24">
        <v>841612</v>
      </c>
      <c r="U241" s="24">
        <v>289522</v>
      </c>
      <c r="W241" s="24">
        <v>146816</v>
      </c>
      <c r="Y241" s="24">
        <v>43700</v>
      </c>
      <c r="AA241" s="24">
        <v>3000</v>
      </c>
      <c r="AC241" s="24">
        <v>0</v>
      </c>
      <c r="AE241" s="24">
        <f t="shared" si="9"/>
        <v>3623835</v>
      </c>
      <c r="AF241" s="24"/>
      <c r="AG241" s="24">
        <v>147374</v>
      </c>
      <c r="AH241" s="24"/>
      <c r="AI241" s="24">
        <v>4580539</v>
      </c>
      <c r="AJ241" s="24"/>
      <c r="AK241" s="24">
        <v>4727913</v>
      </c>
      <c r="AL241" s="24">
        <f>+'Gov Rev'!AI241-'Gov Exp'!AE241+'Gov Exp'!AI241-'Gov Exp'!AK241</f>
        <v>0</v>
      </c>
      <c r="AM241" s="15" t="str">
        <f>'Gov Rev'!A241</f>
        <v>Glendale</v>
      </c>
      <c r="AN241" s="15" t="str">
        <f t="shared" si="10"/>
        <v>Glendale</v>
      </c>
      <c r="AO241" s="15" t="b">
        <f t="shared" si="11"/>
        <v>1</v>
      </c>
    </row>
    <row r="242" spans="1:41" ht="12" customHeight="1" x14ac:dyDescent="0.2">
      <c r="A242" s="15" t="s">
        <v>501</v>
      </c>
      <c r="C242" s="15" t="s">
        <v>500</v>
      </c>
      <c r="E242" s="24">
        <v>2612</v>
      </c>
      <c r="G242" s="24">
        <v>0</v>
      </c>
      <c r="I242" s="24">
        <v>0</v>
      </c>
      <c r="K242" s="24">
        <v>2997</v>
      </c>
      <c r="M242" s="24">
        <v>0</v>
      </c>
      <c r="O242" s="24">
        <v>0</v>
      </c>
      <c r="Q242" s="24">
        <f>15099+800</f>
        <v>15899</v>
      </c>
      <c r="S242" s="24">
        <v>0</v>
      </c>
      <c r="U242" s="24">
        <v>0</v>
      </c>
      <c r="W242" s="24">
        <v>0</v>
      </c>
      <c r="Y242" s="24">
        <v>0</v>
      </c>
      <c r="AA242" s="24">
        <v>0</v>
      </c>
      <c r="AC242" s="24">
        <v>0</v>
      </c>
      <c r="AE242" s="24">
        <f t="shared" si="9"/>
        <v>21508</v>
      </c>
      <c r="AF242" s="24"/>
      <c r="AG242" s="24">
        <f>31826-21508</f>
        <v>10318</v>
      </c>
      <c r="AH242" s="24"/>
      <c r="AI242" s="24">
        <f>AK242-AG242</f>
        <v>50102</v>
      </c>
      <c r="AJ242" s="24"/>
      <c r="AK242" s="24">
        <v>60420</v>
      </c>
      <c r="AL242" s="24">
        <f>+'Gov Rev'!AI242-'Gov Exp'!AE242+'Gov Exp'!AI242-'Gov Exp'!AK242</f>
        <v>0</v>
      </c>
      <c r="AM242" s="15" t="str">
        <f>'Gov Rev'!A242</f>
        <v>Glenford</v>
      </c>
      <c r="AN242" s="15" t="str">
        <f t="shared" si="10"/>
        <v>Glenford</v>
      </c>
      <c r="AO242" s="15" t="b">
        <f t="shared" si="11"/>
        <v>1</v>
      </c>
    </row>
    <row r="243" spans="1:41" s="31" customFormat="1" ht="12" customHeight="1" x14ac:dyDescent="0.2">
      <c r="A243" s="15" t="s">
        <v>851</v>
      </c>
      <c r="B243" s="15"/>
      <c r="C243" s="15" t="s">
        <v>412</v>
      </c>
      <c r="D243" s="15"/>
      <c r="E243" s="24">
        <v>22536</v>
      </c>
      <c r="F243" s="24"/>
      <c r="G243" s="24">
        <v>0</v>
      </c>
      <c r="H243" s="24"/>
      <c r="I243" s="24">
        <v>0</v>
      </c>
      <c r="J243" s="24"/>
      <c r="K243" s="24">
        <v>0</v>
      </c>
      <c r="L243" s="24"/>
      <c r="M243" s="24">
        <v>900</v>
      </c>
      <c r="N243" s="24"/>
      <c r="O243" s="24">
        <v>1888</v>
      </c>
      <c r="P243" s="24"/>
      <c r="Q243" s="24">
        <v>25304</v>
      </c>
      <c r="R243" s="24"/>
      <c r="S243" s="24">
        <v>0</v>
      </c>
      <c r="T243" s="24"/>
      <c r="U243" s="24">
        <v>0</v>
      </c>
      <c r="V243" s="24"/>
      <c r="W243" s="24">
        <v>0</v>
      </c>
      <c r="X243" s="24"/>
      <c r="Y243" s="24">
        <v>0</v>
      </c>
      <c r="Z243" s="24"/>
      <c r="AA243" s="24">
        <v>0</v>
      </c>
      <c r="AB243" s="24"/>
      <c r="AC243" s="24">
        <v>0</v>
      </c>
      <c r="AD243" s="24"/>
      <c r="AE243" s="24">
        <f t="shared" si="9"/>
        <v>50628</v>
      </c>
      <c r="AF243" s="24"/>
      <c r="AG243" s="24">
        <v>8226</v>
      </c>
      <c r="AH243" s="24"/>
      <c r="AI243" s="24">
        <f>AK243-AG243</f>
        <v>17949</v>
      </c>
      <c r="AJ243" s="24"/>
      <c r="AK243" s="24">
        <v>26175</v>
      </c>
      <c r="AL243" s="24">
        <f>+'Gov Rev'!AI243-'Gov Exp'!AE243+'Gov Exp'!AI243-'Gov Exp'!AK243</f>
        <v>0</v>
      </c>
      <c r="AM243" s="15" t="str">
        <f>'Gov Rev'!A243</f>
        <v>Glenmont</v>
      </c>
      <c r="AN243" s="15" t="str">
        <f t="shared" si="10"/>
        <v>Glenmont</v>
      </c>
      <c r="AO243" s="15" t="b">
        <f t="shared" si="11"/>
        <v>1</v>
      </c>
    </row>
    <row r="244" spans="1:41" ht="12" customHeight="1" x14ac:dyDescent="0.2">
      <c r="A244" s="1" t="s">
        <v>49</v>
      </c>
      <c r="B244" s="1"/>
      <c r="C244" s="1" t="s">
        <v>751</v>
      </c>
      <c r="D244" s="24"/>
      <c r="E244" s="24">
        <v>1098009.0900000001</v>
      </c>
      <c r="G244" s="24">
        <v>11392.07</v>
      </c>
      <c r="I244" s="24">
        <v>4700</v>
      </c>
      <c r="K244" s="24">
        <v>176852.61</v>
      </c>
      <c r="M244" s="24">
        <v>0</v>
      </c>
      <c r="O244" s="24">
        <v>441170.53</v>
      </c>
      <c r="Q244" s="24">
        <v>1595902.85</v>
      </c>
      <c r="S244" s="24">
        <v>1107545.67</v>
      </c>
      <c r="U244" s="24">
        <v>2565310</v>
      </c>
      <c r="W244" s="24">
        <v>111717.14</v>
      </c>
      <c r="Y244" s="24">
        <v>509370.22</v>
      </c>
      <c r="AA244" s="24">
        <v>35000</v>
      </c>
      <c r="AC244" s="24">
        <v>8019</v>
      </c>
      <c r="AE244" s="24">
        <f t="shared" si="9"/>
        <v>7664989.1799999997</v>
      </c>
      <c r="AF244" s="24"/>
      <c r="AG244" s="24">
        <v>-779993.94</v>
      </c>
      <c r="AH244" s="24"/>
      <c r="AI244" s="24">
        <v>3495563.56</v>
      </c>
      <c r="AJ244" s="24"/>
      <c r="AK244" s="24">
        <v>2715569.62</v>
      </c>
      <c r="AL244" s="24">
        <f>+'Gov Rev'!AI244-'Gov Exp'!AE244+'Gov Exp'!AI244-'Gov Exp'!AK244</f>
        <v>0</v>
      </c>
      <c r="AM244" s="15" t="str">
        <f>'Gov Rev'!A244</f>
        <v>Glenwillow</v>
      </c>
      <c r="AN244" s="15" t="str">
        <f t="shared" si="10"/>
        <v>Glenwillow</v>
      </c>
      <c r="AO244" s="15" t="b">
        <f t="shared" si="11"/>
        <v>1</v>
      </c>
    </row>
    <row r="245" spans="1:41" ht="12" customHeight="1" x14ac:dyDescent="0.2">
      <c r="A245" s="1" t="s">
        <v>153</v>
      </c>
      <c r="B245" s="1"/>
      <c r="C245" s="1" t="s">
        <v>781</v>
      </c>
      <c r="D245" s="28"/>
      <c r="E245" s="24">
        <v>47439.29</v>
      </c>
      <c r="G245" s="24">
        <v>4370</v>
      </c>
      <c r="I245" s="24">
        <v>1024.68</v>
      </c>
      <c r="K245" s="24">
        <v>3809.88</v>
      </c>
      <c r="M245" s="24">
        <v>0</v>
      </c>
      <c r="O245" s="24">
        <v>10190.280000000001</v>
      </c>
      <c r="Q245" s="24">
        <v>43787.96</v>
      </c>
      <c r="S245" s="24">
        <v>19421.53</v>
      </c>
      <c r="U245" s="24">
        <v>0</v>
      </c>
      <c r="W245" s="24">
        <v>0</v>
      </c>
      <c r="Y245" s="24">
        <v>0</v>
      </c>
      <c r="AA245" s="24">
        <v>0</v>
      </c>
      <c r="AC245" s="24">
        <v>0</v>
      </c>
      <c r="AE245" s="24">
        <f t="shared" si="9"/>
        <v>130043.62</v>
      </c>
      <c r="AF245" s="24"/>
      <c r="AG245" s="24">
        <v>19050.82</v>
      </c>
      <c r="AH245" s="24"/>
      <c r="AI245" s="24">
        <v>250196.47</v>
      </c>
      <c r="AJ245" s="24"/>
      <c r="AK245" s="24">
        <v>269247.28999999998</v>
      </c>
      <c r="AL245" s="24">
        <f>+'Gov Rev'!AI245-'Gov Exp'!AE245+'Gov Exp'!AI245-'Gov Exp'!AK245</f>
        <v>0</v>
      </c>
      <c r="AM245" s="15" t="str">
        <f>'Gov Rev'!A245</f>
        <v>Gloria Glens Park</v>
      </c>
      <c r="AN245" s="15" t="str">
        <f t="shared" si="10"/>
        <v>Gloria Glens Park</v>
      </c>
      <c r="AO245" s="15" t="b">
        <f t="shared" si="11"/>
        <v>1</v>
      </c>
    </row>
    <row r="246" spans="1:41" s="31" customFormat="1" ht="12" customHeight="1" x14ac:dyDescent="0.2">
      <c r="A246" s="1" t="s">
        <v>10</v>
      </c>
      <c r="B246" s="1"/>
      <c r="C246" s="1" t="s">
        <v>739</v>
      </c>
      <c r="D246" s="15"/>
      <c r="E246" s="24">
        <v>193146.15</v>
      </c>
      <c r="F246" s="24"/>
      <c r="G246" s="24">
        <v>0</v>
      </c>
      <c r="H246" s="24"/>
      <c r="I246" s="24">
        <v>16830.29</v>
      </c>
      <c r="J246" s="24"/>
      <c r="K246" s="24">
        <v>0</v>
      </c>
      <c r="L246" s="24"/>
      <c r="M246" s="24">
        <v>0</v>
      </c>
      <c r="N246" s="24"/>
      <c r="O246" s="24">
        <v>78168.03</v>
      </c>
      <c r="P246" s="24"/>
      <c r="Q246" s="24">
        <v>58227.34</v>
      </c>
      <c r="R246" s="24"/>
      <c r="S246" s="24">
        <v>0</v>
      </c>
      <c r="T246" s="24"/>
      <c r="U246" s="24">
        <v>28799.8</v>
      </c>
      <c r="V246" s="24"/>
      <c r="W246" s="24">
        <v>12190.95</v>
      </c>
      <c r="X246" s="24"/>
      <c r="Y246" s="24">
        <v>0</v>
      </c>
      <c r="Z246" s="24"/>
      <c r="AA246" s="24">
        <v>0</v>
      </c>
      <c r="AB246" s="24"/>
      <c r="AC246" s="24">
        <v>0</v>
      </c>
      <c r="AD246" s="24"/>
      <c r="AE246" s="24">
        <f t="shared" si="9"/>
        <v>387362.55999999994</v>
      </c>
      <c r="AF246" s="24"/>
      <c r="AG246" s="24">
        <v>122167.25</v>
      </c>
      <c r="AH246" s="24"/>
      <c r="AI246" s="24">
        <v>10956.45</v>
      </c>
      <c r="AJ246" s="24"/>
      <c r="AK246" s="24">
        <v>133123.70000000001</v>
      </c>
      <c r="AL246" s="24">
        <f>+'Gov Rev'!AI246-'Gov Exp'!AE246+'Gov Exp'!AI246-'Gov Exp'!AK246</f>
        <v>0</v>
      </c>
      <c r="AM246" s="15" t="str">
        <f>'Gov Rev'!A246</f>
        <v>Glouster</v>
      </c>
      <c r="AN246" s="15" t="str">
        <f t="shared" si="10"/>
        <v>Glouster</v>
      </c>
      <c r="AO246" s="15" t="b">
        <f t="shared" si="11"/>
        <v>1</v>
      </c>
    </row>
    <row r="247" spans="1:41" s="31" customFormat="1" ht="12" customHeight="1" x14ac:dyDescent="0.2">
      <c r="A247" s="15" t="s">
        <v>563</v>
      </c>
      <c r="B247" s="15"/>
      <c r="C247" s="15" t="s">
        <v>560</v>
      </c>
      <c r="D247" s="15"/>
      <c r="E247" s="24">
        <f>59195+43207</f>
        <v>102402</v>
      </c>
      <c r="F247" s="24"/>
      <c r="G247" s="24">
        <v>684</v>
      </c>
      <c r="H247" s="24"/>
      <c r="I247" s="24">
        <v>12218</v>
      </c>
      <c r="J247" s="24"/>
      <c r="K247" s="24">
        <v>924</v>
      </c>
      <c r="L247" s="24"/>
      <c r="M247" s="24">
        <f>199049+39422</f>
        <v>238471</v>
      </c>
      <c r="N247" s="24"/>
      <c r="O247" s="24">
        <f>37812+28010</f>
        <v>65822</v>
      </c>
      <c r="P247" s="24"/>
      <c r="Q247" s="24">
        <f>61512+100911</f>
        <v>162423</v>
      </c>
      <c r="R247" s="24"/>
      <c r="S247" s="24">
        <f>25161+55400</f>
        <v>80561</v>
      </c>
      <c r="T247" s="24"/>
      <c r="U247" s="24">
        <f>21600+21400+193071</f>
        <v>236071</v>
      </c>
      <c r="V247" s="24"/>
      <c r="W247" s="24">
        <v>0</v>
      </c>
      <c r="X247" s="24"/>
      <c r="Y247" s="24">
        <v>255200</v>
      </c>
      <c r="Z247" s="24"/>
      <c r="AA247" s="24">
        <v>0</v>
      </c>
      <c r="AB247" s="24"/>
      <c r="AC247" s="24">
        <v>0</v>
      </c>
      <c r="AD247" s="24"/>
      <c r="AE247" s="24">
        <f t="shared" si="9"/>
        <v>1154776</v>
      </c>
      <c r="AF247" s="24"/>
      <c r="AG247" s="24">
        <f>49503+21914+3938-21374</f>
        <v>53981</v>
      </c>
      <c r="AH247" s="24"/>
      <c r="AI247" s="24">
        <f>AK247-AG247</f>
        <v>138821</v>
      </c>
      <c r="AJ247" s="24"/>
      <c r="AK247" s="24">
        <f>89732+54452+29854+18764</f>
        <v>192802</v>
      </c>
      <c r="AL247" s="24">
        <f>+'Gov Rev'!AI247-'Gov Exp'!AE247+'Gov Exp'!AI247-'Gov Exp'!AK247</f>
        <v>0</v>
      </c>
      <c r="AM247" s="15" t="str">
        <f>'Gov Rev'!A247</f>
        <v>Gnadenhutten</v>
      </c>
      <c r="AN247" s="15" t="str">
        <f t="shared" si="10"/>
        <v>Gnadenhutten</v>
      </c>
      <c r="AO247" s="15" t="b">
        <f t="shared" si="11"/>
        <v>1</v>
      </c>
    </row>
    <row r="248" spans="1:41" s="31" customFormat="1" ht="12" customHeight="1" x14ac:dyDescent="0.2">
      <c r="A248" s="15" t="s">
        <v>382</v>
      </c>
      <c r="B248" s="15"/>
      <c r="C248" s="15" t="s">
        <v>378</v>
      </c>
      <c r="D248" s="15"/>
      <c r="E248" s="24">
        <v>1816856</v>
      </c>
      <c r="F248" s="24"/>
      <c r="G248" s="24">
        <v>1435</v>
      </c>
      <c r="H248" s="24"/>
      <c r="I248" s="24">
        <v>0</v>
      </c>
      <c r="J248" s="24"/>
      <c r="K248" s="24">
        <v>22439</v>
      </c>
      <c r="L248" s="24"/>
      <c r="M248" s="24">
        <v>246374</v>
      </c>
      <c r="N248" s="24"/>
      <c r="O248" s="24">
        <v>202611</v>
      </c>
      <c r="P248" s="24"/>
      <c r="Q248" s="24">
        <v>999510</v>
      </c>
      <c r="R248" s="24"/>
      <c r="S248" s="24">
        <v>7088</v>
      </c>
      <c r="T248" s="24"/>
      <c r="U248" s="24">
        <v>297799</v>
      </c>
      <c r="V248" s="24"/>
      <c r="W248" s="24">
        <v>33971</v>
      </c>
      <c r="X248" s="24"/>
      <c r="Y248" s="24">
        <v>615000</v>
      </c>
      <c r="Z248" s="24"/>
      <c r="AA248" s="24">
        <v>0</v>
      </c>
      <c r="AB248" s="24"/>
      <c r="AC248" s="24">
        <v>0</v>
      </c>
      <c r="AD248" s="24"/>
      <c r="AE248" s="24">
        <f t="shared" si="9"/>
        <v>4243083</v>
      </c>
      <c r="AF248" s="24"/>
      <c r="AG248" s="24">
        <v>-180694</v>
      </c>
      <c r="AH248" s="24"/>
      <c r="AI248" s="24">
        <v>1017787</v>
      </c>
      <c r="AJ248" s="24"/>
      <c r="AK248" s="24">
        <v>837093</v>
      </c>
      <c r="AL248" s="24">
        <f>+'Gov Rev'!AI248-'Gov Exp'!AE248+'Gov Exp'!AI248-'Gov Exp'!AK248</f>
        <v>0</v>
      </c>
      <c r="AM248" s="15" t="str">
        <f>'Gov Rev'!A248</f>
        <v>Golf Manor</v>
      </c>
      <c r="AN248" s="15" t="str">
        <f t="shared" si="10"/>
        <v>Golf Manor</v>
      </c>
      <c r="AO248" s="15" t="b">
        <f t="shared" si="11"/>
        <v>1</v>
      </c>
    </row>
    <row r="249" spans="1:41" s="31" customFormat="1" ht="12" customHeight="1" x14ac:dyDescent="0.2">
      <c r="A249" s="15" t="s">
        <v>331</v>
      </c>
      <c r="B249" s="15"/>
      <c r="C249" s="15" t="s">
        <v>329</v>
      </c>
      <c r="D249" s="15"/>
      <c r="E249" s="24">
        <v>9565.77</v>
      </c>
      <c r="F249" s="24"/>
      <c r="G249" s="24">
        <v>10.6</v>
      </c>
      <c r="H249" s="24"/>
      <c r="I249" s="24">
        <v>4135.01</v>
      </c>
      <c r="J249" s="24"/>
      <c r="K249" s="24">
        <v>0</v>
      </c>
      <c r="L249" s="24"/>
      <c r="M249" s="24">
        <v>15196.49</v>
      </c>
      <c r="N249" s="24"/>
      <c r="O249" s="24">
        <v>4586.4399999999996</v>
      </c>
      <c r="P249" s="24"/>
      <c r="Q249" s="24">
        <v>20552.25</v>
      </c>
      <c r="R249" s="24"/>
      <c r="S249" s="24">
        <v>0</v>
      </c>
      <c r="T249" s="24"/>
      <c r="U249" s="24">
        <v>0</v>
      </c>
      <c r="V249" s="24"/>
      <c r="W249" s="24">
        <v>0</v>
      </c>
      <c r="X249" s="24"/>
      <c r="Y249" s="24">
        <v>0</v>
      </c>
      <c r="Z249" s="24"/>
      <c r="AA249" s="24">
        <v>0</v>
      </c>
      <c r="AB249" s="24"/>
      <c r="AC249" s="24">
        <v>1182.82</v>
      </c>
      <c r="AD249" s="24"/>
      <c r="AE249" s="24">
        <f t="shared" si="9"/>
        <v>55229.380000000005</v>
      </c>
      <c r="AF249" s="24"/>
      <c r="AG249" s="24">
        <v>-11859.54</v>
      </c>
      <c r="AH249" s="24"/>
      <c r="AI249" s="24">
        <v>141586.42000000001</v>
      </c>
      <c r="AJ249" s="24"/>
      <c r="AK249" s="24">
        <v>129726.88</v>
      </c>
      <c r="AL249" s="24">
        <f>+'Gov Rev'!AI249-'Gov Exp'!AE249+'Gov Exp'!AI249-'Gov Exp'!AK249</f>
        <v>0</v>
      </c>
      <c r="AM249" s="15" t="str">
        <f>'Gov Rev'!A249</f>
        <v>Gordon</v>
      </c>
      <c r="AN249" s="15" t="str">
        <f t="shared" si="10"/>
        <v>Gordon</v>
      </c>
      <c r="AO249" s="15" t="b">
        <f t="shared" si="11"/>
        <v>1</v>
      </c>
    </row>
    <row r="250" spans="1:41" s="31" customFormat="1" ht="12" customHeight="1" x14ac:dyDescent="0.2">
      <c r="A250" s="15" t="s">
        <v>450</v>
      </c>
      <c r="B250" s="15"/>
      <c r="C250" s="15" t="s">
        <v>451</v>
      </c>
      <c r="D250" s="15"/>
      <c r="E250" s="24">
        <v>737375</v>
      </c>
      <c r="F250" s="24"/>
      <c r="G250" s="24">
        <v>58514</v>
      </c>
      <c r="H250" s="24"/>
      <c r="I250" s="24">
        <v>20936</v>
      </c>
      <c r="J250" s="24"/>
      <c r="K250" s="24">
        <v>2970</v>
      </c>
      <c r="L250" s="24"/>
      <c r="M250" s="24">
        <v>313819</v>
      </c>
      <c r="N250" s="24"/>
      <c r="O250" s="24">
        <v>171339</v>
      </c>
      <c r="P250" s="24"/>
      <c r="Q250" s="24">
        <v>563893</v>
      </c>
      <c r="R250" s="24"/>
      <c r="S250" s="24">
        <v>487625</v>
      </c>
      <c r="T250" s="24"/>
      <c r="U250" s="24">
        <v>118254</v>
      </c>
      <c r="V250" s="24"/>
      <c r="W250" s="24">
        <v>1007</v>
      </c>
      <c r="X250" s="24"/>
      <c r="Y250" s="24">
        <v>148300</v>
      </c>
      <c r="Z250" s="24"/>
      <c r="AA250" s="24">
        <v>0</v>
      </c>
      <c r="AB250" s="24"/>
      <c r="AC250" s="24">
        <v>0</v>
      </c>
      <c r="AD250" s="24"/>
      <c r="AE250" s="24">
        <f t="shared" si="9"/>
        <v>2624032</v>
      </c>
      <c r="AF250" s="24"/>
      <c r="AG250" s="24">
        <v>169626</v>
      </c>
      <c r="AH250" s="24"/>
      <c r="AI250" s="24">
        <v>2278113</v>
      </c>
      <c r="AJ250" s="24"/>
      <c r="AK250" s="24">
        <v>2447739</v>
      </c>
      <c r="AL250" s="24">
        <f>+'Gov Rev'!AI250-'Gov Exp'!AE250+'Gov Exp'!AI250-'Gov Exp'!AK250</f>
        <v>0</v>
      </c>
      <c r="AM250" s="15" t="str">
        <f>'Gov Rev'!A250</f>
        <v>Grafton</v>
      </c>
      <c r="AN250" s="15" t="str">
        <f t="shared" si="10"/>
        <v>Grafton</v>
      </c>
      <c r="AO250" s="15" t="b">
        <f t="shared" si="11"/>
        <v>1</v>
      </c>
    </row>
    <row r="251" spans="1:41" s="31" customFormat="1" ht="12" customHeight="1" x14ac:dyDescent="0.2">
      <c r="A251" s="1" t="s">
        <v>255</v>
      </c>
      <c r="B251" s="1"/>
      <c r="C251" s="1" t="s">
        <v>601</v>
      </c>
      <c r="D251" s="15"/>
      <c r="E251" s="24">
        <v>98385.49</v>
      </c>
      <c r="F251" s="24"/>
      <c r="G251" s="24">
        <v>804.66</v>
      </c>
      <c r="H251" s="24"/>
      <c r="I251" s="24">
        <v>25930.21</v>
      </c>
      <c r="J251" s="24"/>
      <c r="K251" s="24">
        <v>3063.25</v>
      </c>
      <c r="L251" s="24"/>
      <c r="M251" s="24">
        <v>12923.5</v>
      </c>
      <c r="N251" s="24"/>
      <c r="O251" s="24">
        <v>34375.85</v>
      </c>
      <c r="P251" s="24"/>
      <c r="Q251" s="24">
        <v>157226.79</v>
      </c>
      <c r="R251" s="24"/>
      <c r="S251" s="24">
        <v>134725.07999999999</v>
      </c>
      <c r="T251" s="24"/>
      <c r="U251" s="24">
        <v>66393.38</v>
      </c>
      <c r="V251" s="24"/>
      <c r="W251" s="24">
        <v>6910.68</v>
      </c>
      <c r="X251" s="24"/>
      <c r="Y251" s="24">
        <v>221116.68</v>
      </c>
      <c r="Z251" s="24"/>
      <c r="AA251" s="24">
        <v>0</v>
      </c>
      <c r="AB251" s="24"/>
      <c r="AC251" s="24">
        <v>12692.79</v>
      </c>
      <c r="AD251" s="24"/>
      <c r="AE251" s="24">
        <f t="shared" si="9"/>
        <v>774548.3600000001</v>
      </c>
      <c r="AF251" s="24"/>
      <c r="AG251" s="24">
        <v>8124.32</v>
      </c>
      <c r="AH251" s="24"/>
      <c r="AI251" s="24">
        <v>1180999.01</v>
      </c>
      <c r="AJ251" s="24"/>
      <c r="AK251" s="24">
        <v>1189123.33</v>
      </c>
      <c r="AL251" s="24">
        <f>+'Gov Rev'!AI251-'Gov Exp'!AE251+'Gov Exp'!AI251-'Gov Exp'!AK251</f>
        <v>0</v>
      </c>
      <c r="AM251" s="15" t="str">
        <f>'Gov Rev'!A251</f>
        <v>Grand Rapids</v>
      </c>
      <c r="AN251" s="15" t="str">
        <f t="shared" si="10"/>
        <v>Grand Rapids</v>
      </c>
      <c r="AO251" s="15" t="b">
        <f t="shared" si="11"/>
        <v>1</v>
      </c>
    </row>
    <row r="252" spans="1:41" s="31" customFormat="1" ht="12" customHeight="1" x14ac:dyDescent="0.2">
      <c r="A252" s="15" t="s">
        <v>431</v>
      </c>
      <c r="B252" s="15"/>
      <c r="C252" s="15" t="s">
        <v>430</v>
      </c>
      <c r="D252" s="15"/>
      <c r="E252" s="24">
        <v>337009</v>
      </c>
      <c r="F252" s="24"/>
      <c r="G252" s="24">
        <v>4088</v>
      </c>
      <c r="H252" s="24"/>
      <c r="I252" s="24">
        <v>795</v>
      </c>
      <c r="J252" s="24"/>
      <c r="K252" s="24">
        <v>5270</v>
      </c>
      <c r="L252" s="24"/>
      <c r="M252" s="24">
        <v>0</v>
      </c>
      <c r="N252" s="24"/>
      <c r="O252" s="24">
        <v>31721</v>
      </c>
      <c r="P252" s="24"/>
      <c r="Q252" s="24">
        <f>109265-2</f>
        <v>109263</v>
      </c>
      <c r="R252" s="24"/>
      <c r="S252" s="24">
        <v>212338</v>
      </c>
      <c r="T252" s="24"/>
      <c r="U252" s="24">
        <v>0</v>
      </c>
      <c r="V252" s="24"/>
      <c r="W252" s="24">
        <v>0</v>
      </c>
      <c r="X252" s="24"/>
      <c r="Y252" s="24">
        <v>0</v>
      </c>
      <c r="Z252" s="24"/>
      <c r="AA252" s="24">
        <v>0</v>
      </c>
      <c r="AB252" s="24"/>
      <c r="AC252" s="24">
        <v>0</v>
      </c>
      <c r="AD252" s="24"/>
      <c r="AE252" s="24">
        <f t="shared" si="9"/>
        <v>700484</v>
      </c>
      <c r="AF252" s="24"/>
      <c r="AG252" s="24">
        <f>8564-113</f>
        <v>8451</v>
      </c>
      <c r="AH252" s="24"/>
      <c r="AI252" s="24">
        <f>265459-5173</f>
        <v>260286</v>
      </c>
      <c r="AJ252" s="24"/>
      <c r="AK252" s="24">
        <f>274023-5286</f>
        <v>268737</v>
      </c>
      <c r="AL252" s="24">
        <f>+'Gov Rev'!AI252-'Gov Exp'!AE252+'Gov Exp'!AI252-'Gov Exp'!AK252</f>
        <v>0</v>
      </c>
      <c r="AM252" s="15" t="str">
        <f>'Gov Rev'!A252</f>
        <v>Grand River</v>
      </c>
      <c r="AN252" s="15" t="str">
        <f t="shared" si="10"/>
        <v>Grand River</v>
      </c>
      <c r="AO252" s="15" t="b">
        <f t="shared" si="11"/>
        <v>1</v>
      </c>
    </row>
    <row r="253" spans="1:41" s="31" customFormat="1" ht="12" customHeight="1" x14ac:dyDescent="0.2">
      <c r="A253" s="15" t="s">
        <v>438</v>
      </c>
      <c r="B253" s="15"/>
      <c r="C253" s="15" t="s">
        <v>439</v>
      </c>
      <c r="D253" s="15"/>
      <c r="E253" s="24">
        <v>1114194</v>
      </c>
      <c r="F253" s="24"/>
      <c r="G253" s="24">
        <v>27151</v>
      </c>
      <c r="H253" s="24"/>
      <c r="I253" s="24">
        <v>1575</v>
      </c>
      <c r="J253" s="24"/>
      <c r="K253" s="24">
        <v>92946</v>
      </c>
      <c r="L253" s="24"/>
      <c r="M253" s="24">
        <v>0</v>
      </c>
      <c r="N253" s="24"/>
      <c r="O253" s="24">
        <v>812243</v>
      </c>
      <c r="P253" s="24"/>
      <c r="Q253" s="24">
        <f>1065734-1</f>
        <v>1065733</v>
      </c>
      <c r="R253" s="24"/>
      <c r="S253" s="24">
        <v>517100</v>
      </c>
      <c r="T253" s="24"/>
      <c r="U253" s="24">
        <v>418201</v>
      </c>
      <c r="V253" s="24"/>
      <c r="W253" s="24">
        <v>0</v>
      </c>
      <c r="X253" s="24"/>
      <c r="Y253" s="24">
        <v>659252</v>
      </c>
      <c r="Z253" s="24"/>
      <c r="AA253" s="24">
        <v>0</v>
      </c>
      <c r="AB253" s="24"/>
      <c r="AC253" s="24">
        <v>0</v>
      </c>
      <c r="AD253" s="24"/>
      <c r="AE253" s="24">
        <f t="shared" si="9"/>
        <v>4708395</v>
      </c>
      <c r="AF253" s="24"/>
      <c r="AG253" s="24">
        <v>136254</v>
      </c>
      <c r="AH253" s="24"/>
      <c r="AI253" s="24">
        <f>4772980-110</f>
        <v>4772870</v>
      </c>
      <c r="AJ253" s="24"/>
      <c r="AK253" s="24">
        <f>4909233-110</f>
        <v>4909123</v>
      </c>
      <c r="AL253" s="24">
        <f>+'Gov Rev'!AI253-'Gov Exp'!AE253+'Gov Exp'!AI253-'Gov Exp'!AK253</f>
        <v>0</v>
      </c>
      <c r="AM253" s="15" t="str">
        <f>'Gov Rev'!A253</f>
        <v>Granville</v>
      </c>
      <c r="AN253" s="15" t="str">
        <f t="shared" si="10"/>
        <v>Granville</v>
      </c>
      <c r="AO253" s="15" t="b">
        <f t="shared" si="11"/>
        <v>1</v>
      </c>
    </row>
    <row r="254" spans="1:41" s="31" customFormat="1" ht="12" customHeight="1" x14ac:dyDescent="0.2">
      <c r="A254" s="15" t="s">
        <v>440</v>
      </c>
      <c r="B254" s="15"/>
      <c r="C254" s="15" t="s">
        <v>439</v>
      </c>
      <c r="D254" s="15"/>
      <c r="E254" s="24">
        <v>5080</v>
      </c>
      <c r="F254" s="24"/>
      <c r="G254" s="24">
        <v>222</v>
      </c>
      <c r="H254" s="24"/>
      <c r="I254" s="24">
        <v>0</v>
      </c>
      <c r="J254" s="24"/>
      <c r="K254" s="24">
        <v>0</v>
      </c>
      <c r="L254" s="24"/>
      <c r="M254" s="24">
        <v>1097</v>
      </c>
      <c r="N254" s="24"/>
      <c r="O254" s="24">
        <v>1265</v>
      </c>
      <c r="P254" s="24"/>
      <c r="Q254" s="24">
        <v>18456</v>
      </c>
      <c r="R254" s="24"/>
      <c r="S254" s="24">
        <v>0</v>
      </c>
      <c r="T254" s="24"/>
      <c r="U254" s="24">
        <v>0</v>
      </c>
      <c r="V254" s="24"/>
      <c r="W254" s="24">
        <v>0</v>
      </c>
      <c r="X254" s="24"/>
      <c r="Y254" s="24">
        <v>0</v>
      </c>
      <c r="Z254" s="24"/>
      <c r="AA254" s="24">
        <v>0</v>
      </c>
      <c r="AB254" s="24"/>
      <c r="AC254" s="24">
        <v>0</v>
      </c>
      <c r="AD254" s="24"/>
      <c r="AE254" s="24">
        <f t="shared" si="9"/>
        <v>26120</v>
      </c>
      <c r="AF254" s="24"/>
      <c r="AG254" s="24">
        <f>-7731+8201</f>
        <v>470</v>
      </c>
      <c r="AH254" s="24"/>
      <c r="AI254" s="24">
        <f>26492+35660</f>
        <v>62152</v>
      </c>
      <c r="AJ254" s="24"/>
      <c r="AK254" s="24">
        <f>18761+43861</f>
        <v>62622</v>
      </c>
      <c r="AL254" s="24">
        <f>+'Gov Rev'!AI254-'Gov Exp'!AE254+'Gov Exp'!AI254-'Gov Exp'!AK254</f>
        <v>0</v>
      </c>
      <c r="AM254" s="15" t="str">
        <f>'Gov Rev'!A254</f>
        <v>Gratiot</v>
      </c>
      <c r="AN254" s="15" t="str">
        <f t="shared" si="10"/>
        <v>Gratiot</v>
      </c>
      <c r="AO254" s="15" t="b">
        <f t="shared" si="11"/>
        <v>1</v>
      </c>
    </row>
    <row r="255" spans="1:41" s="31" customFormat="1" ht="12" customHeight="1" x14ac:dyDescent="0.2">
      <c r="A255" s="1" t="s">
        <v>201</v>
      </c>
      <c r="B255" s="1"/>
      <c r="C255" s="1" t="s">
        <v>796</v>
      </c>
      <c r="D255" s="15"/>
      <c r="E255" s="24">
        <v>111524.3</v>
      </c>
      <c r="F255" s="24"/>
      <c r="G255" s="24">
        <v>253168.55</v>
      </c>
      <c r="H255" s="24"/>
      <c r="I255" s="24">
        <v>19.059999999999999</v>
      </c>
      <c r="J255" s="24"/>
      <c r="K255" s="24">
        <v>0</v>
      </c>
      <c r="L255" s="24"/>
      <c r="M255" s="24">
        <v>0</v>
      </c>
      <c r="N255" s="24"/>
      <c r="O255" s="24">
        <v>40298.83</v>
      </c>
      <c r="P255" s="24"/>
      <c r="Q255" s="24">
        <v>45531.92</v>
      </c>
      <c r="R255" s="24"/>
      <c r="S255" s="24">
        <v>56670.95</v>
      </c>
      <c r="T255" s="24"/>
      <c r="U255" s="24">
        <v>735.68</v>
      </c>
      <c r="V255" s="24"/>
      <c r="W255" s="24">
        <v>48.58</v>
      </c>
      <c r="X255" s="24"/>
      <c r="Y255" s="24">
        <v>0</v>
      </c>
      <c r="Z255" s="24"/>
      <c r="AA255" s="24">
        <v>0</v>
      </c>
      <c r="AB255" s="24"/>
      <c r="AC255" s="24">
        <v>0</v>
      </c>
      <c r="AD255" s="24"/>
      <c r="AE255" s="24">
        <f t="shared" si="9"/>
        <v>507997.87</v>
      </c>
      <c r="AF255" s="24"/>
      <c r="AG255" s="24">
        <v>21859.64</v>
      </c>
      <c r="AH255" s="24"/>
      <c r="AI255" s="24">
        <v>253831.12</v>
      </c>
      <c r="AJ255" s="24"/>
      <c r="AK255" s="24">
        <v>275690.76</v>
      </c>
      <c r="AL255" s="24">
        <f>+'Gov Rev'!AI255-'Gov Exp'!AE255+'Gov Exp'!AI255-'Gov Exp'!AK255</f>
        <v>0</v>
      </c>
      <c r="AM255" s="15" t="str">
        <f>'Gov Rev'!A255</f>
        <v>Gratis</v>
      </c>
      <c r="AN255" s="15" t="str">
        <f t="shared" si="10"/>
        <v>Gratis</v>
      </c>
      <c r="AO255" s="15" t="b">
        <f t="shared" si="11"/>
        <v>1</v>
      </c>
    </row>
    <row r="256" spans="1:41" s="31" customFormat="1" ht="12" customHeight="1" x14ac:dyDescent="0.2">
      <c r="A256" s="15" t="s">
        <v>475</v>
      </c>
      <c r="B256" s="15"/>
      <c r="C256" s="15" t="s">
        <v>474</v>
      </c>
      <c r="D256" s="15"/>
      <c r="E256" s="24">
        <v>1588</v>
      </c>
      <c r="F256" s="24"/>
      <c r="G256" s="24">
        <v>1301</v>
      </c>
      <c r="H256" s="24"/>
      <c r="I256" s="24">
        <v>0</v>
      </c>
      <c r="J256" s="24"/>
      <c r="K256" s="24">
        <v>0</v>
      </c>
      <c r="L256" s="24"/>
      <c r="M256" s="24">
        <v>0</v>
      </c>
      <c r="N256" s="24"/>
      <c r="O256" s="24">
        <v>295</v>
      </c>
      <c r="P256" s="24"/>
      <c r="Q256" s="24">
        <f>3775+1</f>
        <v>3776</v>
      </c>
      <c r="R256" s="24"/>
      <c r="S256" s="24">
        <v>0</v>
      </c>
      <c r="T256" s="24"/>
      <c r="U256" s="24">
        <v>0</v>
      </c>
      <c r="V256" s="24"/>
      <c r="W256" s="24">
        <v>0</v>
      </c>
      <c r="X256" s="24"/>
      <c r="Y256" s="24">
        <v>0</v>
      </c>
      <c r="Z256" s="24"/>
      <c r="AA256" s="24">
        <v>0</v>
      </c>
      <c r="AB256" s="24"/>
      <c r="AC256" s="24">
        <v>0</v>
      </c>
      <c r="AD256" s="24"/>
      <c r="AE256" s="24">
        <f t="shared" si="9"/>
        <v>6960</v>
      </c>
      <c r="AF256" s="24"/>
      <c r="AG256" s="24">
        <v>3516</v>
      </c>
      <c r="AH256" s="24"/>
      <c r="AI256" s="24">
        <v>18341</v>
      </c>
      <c r="AJ256" s="24"/>
      <c r="AK256" s="24">
        <v>21857</v>
      </c>
      <c r="AL256" s="24">
        <f>+'Gov Rev'!AI256-'Gov Exp'!AE256+'Gov Exp'!AI256-'Gov Exp'!AK256</f>
        <v>0</v>
      </c>
      <c r="AM256" s="15" t="str">
        <f>'Gov Rev'!A256</f>
        <v>Graysville</v>
      </c>
      <c r="AN256" s="15" t="str">
        <f t="shared" si="10"/>
        <v>Graysville</v>
      </c>
      <c r="AO256" s="15" t="b">
        <f t="shared" si="11"/>
        <v>1</v>
      </c>
    </row>
    <row r="257" spans="1:41" s="31" customFormat="1" ht="12" customHeight="1" x14ac:dyDescent="0.2">
      <c r="A257" s="1" t="s">
        <v>148</v>
      </c>
      <c r="B257" s="1"/>
      <c r="C257" s="1" t="s">
        <v>463</v>
      </c>
      <c r="D257" s="15"/>
      <c r="E257" s="24">
        <v>2920.75</v>
      </c>
      <c r="F257" s="24"/>
      <c r="G257" s="24">
        <v>3542.74</v>
      </c>
      <c r="H257" s="24"/>
      <c r="I257" s="24">
        <v>0</v>
      </c>
      <c r="J257" s="24"/>
      <c r="K257" s="24">
        <v>0</v>
      </c>
      <c r="L257" s="24"/>
      <c r="M257" s="24">
        <v>13436.67</v>
      </c>
      <c r="N257" s="24"/>
      <c r="O257" s="24">
        <v>13747.65</v>
      </c>
      <c r="P257" s="24"/>
      <c r="Q257" s="24">
        <v>30296.68</v>
      </c>
      <c r="R257" s="24"/>
      <c r="S257" s="24">
        <v>0</v>
      </c>
      <c r="T257" s="24"/>
      <c r="U257" s="24">
        <v>0</v>
      </c>
      <c r="V257" s="24"/>
      <c r="W257" s="24">
        <v>0</v>
      </c>
      <c r="X257" s="24"/>
      <c r="Y257" s="24">
        <v>0</v>
      </c>
      <c r="Z257" s="24"/>
      <c r="AA257" s="24">
        <v>0</v>
      </c>
      <c r="AB257" s="24"/>
      <c r="AC257" s="24">
        <v>9800</v>
      </c>
      <c r="AD257" s="24"/>
      <c r="AE257" s="24">
        <f t="shared" si="9"/>
        <v>73744.489999999991</v>
      </c>
      <c r="AF257" s="24"/>
      <c r="AG257" s="24">
        <v>-16120.77</v>
      </c>
      <c r="AH257" s="24"/>
      <c r="AI257" s="24">
        <v>68780.06</v>
      </c>
      <c r="AJ257" s="24"/>
      <c r="AK257" s="24">
        <v>52659.29</v>
      </c>
      <c r="AL257" s="24">
        <f>+'Gov Rev'!AI257-'Gov Exp'!AE257+'Gov Exp'!AI257-'Gov Exp'!AK257</f>
        <v>0</v>
      </c>
      <c r="AM257" s="15" t="str">
        <f>'Gov Rev'!A257</f>
        <v>Green Camp</v>
      </c>
      <c r="AN257" s="15" t="str">
        <f t="shared" si="10"/>
        <v>Green Camp</v>
      </c>
      <c r="AO257" s="15" t="b">
        <f t="shared" si="11"/>
        <v>1</v>
      </c>
    </row>
    <row r="258" spans="1:41" s="31" customFormat="1" ht="12" customHeight="1" x14ac:dyDescent="0.2">
      <c r="A258" s="1" t="s">
        <v>219</v>
      </c>
      <c r="B258" s="1"/>
      <c r="C258" s="1" t="s">
        <v>802</v>
      </c>
      <c r="D258" s="15"/>
      <c r="E258" s="24">
        <v>178069.68</v>
      </c>
      <c r="F258" s="24"/>
      <c r="G258" s="24">
        <v>12821.13</v>
      </c>
      <c r="H258" s="24"/>
      <c r="I258" s="24">
        <v>14622.07</v>
      </c>
      <c r="J258" s="24"/>
      <c r="K258" s="24">
        <v>1928.15</v>
      </c>
      <c r="L258" s="24"/>
      <c r="M258" s="24">
        <v>2191</v>
      </c>
      <c r="N258" s="24"/>
      <c r="O258" s="24">
        <v>122803.53</v>
      </c>
      <c r="P258" s="24"/>
      <c r="Q258" s="24">
        <v>127572.49</v>
      </c>
      <c r="R258" s="24"/>
      <c r="S258" s="24">
        <v>234323.32</v>
      </c>
      <c r="T258" s="24"/>
      <c r="U258" s="24">
        <v>7066.38</v>
      </c>
      <c r="V258" s="24"/>
      <c r="W258" s="24">
        <v>0</v>
      </c>
      <c r="X258" s="24"/>
      <c r="Y258" s="24">
        <v>81500</v>
      </c>
      <c r="Z258" s="24"/>
      <c r="AA258" s="24">
        <v>0</v>
      </c>
      <c r="AB258" s="24"/>
      <c r="AC258" s="24">
        <v>85.61</v>
      </c>
      <c r="AD258" s="24"/>
      <c r="AE258" s="24">
        <f t="shared" si="9"/>
        <v>782983.36</v>
      </c>
      <c r="AF258" s="24"/>
      <c r="AG258" s="24">
        <v>13951.3</v>
      </c>
      <c r="AH258" s="24"/>
      <c r="AI258" s="24">
        <v>721041.83</v>
      </c>
      <c r="AJ258" s="24"/>
      <c r="AK258" s="24">
        <v>734993.13</v>
      </c>
      <c r="AL258" s="24">
        <f>+'Gov Rev'!AI258-'Gov Exp'!AE258+'Gov Exp'!AI258-'Gov Exp'!AK258</f>
        <v>0</v>
      </c>
      <c r="AM258" s="15" t="str">
        <f>'Gov Rev'!A258</f>
        <v>Green Springs</v>
      </c>
      <c r="AN258" s="15" t="str">
        <f t="shared" si="10"/>
        <v>Green Springs</v>
      </c>
      <c r="AO258" s="15" t="b">
        <f t="shared" si="11"/>
        <v>1</v>
      </c>
    </row>
    <row r="259" spans="1:41" s="31" customFormat="1" ht="12" customHeight="1" x14ac:dyDescent="0.2">
      <c r="A259" s="24" t="s">
        <v>946</v>
      </c>
      <c r="B259" s="24"/>
      <c r="C259" s="24" t="s">
        <v>409</v>
      </c>
      <c r="D259" s="68"/>
      <c r="E259" s="24">
        <v>786648</v>
      </c>
      <c r="F259" s="24"/>
      <c r="G259" s="24">
        <f>92535-85</f>
        <v>92450</v>
      </c>
      <c r="H259" s="24"/>
      <c r="I259" s="24">
        <v>29568</v>
      </c>
      <c r="J259" s="24"/>
      <c r="K259" s="24">
        <v>285687</v>
      </c>
      <c r="L259" s="24"/>
      <c r="M259" s="24">
        <v>48332</v>
      </c>
      <c r="N259" s="24"/>
      <c r="O259" s="24">
        <v>184518</v>
      </c>
      <c r="P259" s="24"/>
      <c r="Q259" s="24">
        <v>285181</v>
      </c>
      <c r="R259" s="24"/>
      <c r="S259" s="24">
        <v>261131</v>
      </c>
      <c r="T259" s="24"/>
      <c r="U259" s="24">
        <v>582980</v>
      </c>
      <c r="V259" s="24"/>
      <c r="W259" s="24">
        <v>12556</v>
      </c>
      <c r="X259" s="24"/>
      <c r="Y259" s="24">
        <v>77919</v>
      </c>
      <c r="Z259" s="24"/>
      <c r="AA259" s="24">
        <v>0</v>
      </c>
      <c r="AB259" s="24"/>
      <c r="AC259" s="24">
        <v>2457</v>
      </c>
      <c r="AD259" s="24"/>
      <c r="AE259" s="24">
        <f t="shared" si="9"/>
        <v>2649427</v>
      </c>
      <c r="AF259" s="24"/>
      <c r="AG259" s="24">
        <f>50183-2280</f>
        <v>47903</v>
      </c>
      <c r="AH259" s="24"/>
      <c r="AI259" s="24">
        <f>878095-55209</f>
        <v>822886</v>
      </c>
      <c r="AJ259" s="24"/>
      <c r="AK259" s="24">
        <f>928278-57489</f>
        <v>870789</v>
      </c>
      <c r="AL259" s="24">
        <f>+'Gov Rev'!AI259-'Gov Exp'!AE259+'Gov Exp'!AI259-'Gov Exp'!AK259</f>
        <v>0</v>
      </c>
      <c r="AM259" s="15" t="str">
        <f>'Gov Rev'!A259</f>
        <v>Greenfield</v>
      </c>
      <c r="AN259" s="15" t="str">
        <f t="shared" si="10"/>
        <v>Greenfield</v>
      </c>
      <c r="AO259" s="15" t="b">
        <f t="shared" si="11"/>
        <v>1</v>
      </c>
    </row>
    <row r="260" spans="1:41" s="31" customFormat="1" ht="12" customHeight="1" x14ac:dyDescent="0.2">
      <c r="A260" s="1" t="s">
        <v>94</v>
      </c>
      <c r="B260" s="1"/>
      <c r="C260" s="1" t="s">
        <v>763</v>
      </c>
      <c r="D260" s="15"/>
      <c r="E260" s="24">
        <v>894972.44</v>
      </c>
      <c r="F260" s="24"/>
      <c r="G260" s="24">
        <v>0</v>
      </c>
      <c r="H260" s="24"/>
      <c r="I260" s="24">
        <v>231952.88</v>
      </c>
      <c r="J260" s="24"/>
      <c r="K260" s="24">
        <v>72199.92</v>
      </c>
      <c r="L260" s="24"/>
      <c r="M260" s="24">
        <v>204940.87</v>
      </c>
      <c r="N260" s="24"/>
      <c r="O260" s="24">
        <v>452419.52</v>
      </c>
      <c r="P260" s="24"/>
      <c r="Q260" s="24">
        <v>1147596.46</v>
      </c>
      <c r="R260" s="24"/>
      <c r="S260" s="24">
        <v>110143.53</v>
      </c>
      <c r="T260" s="24"/>
      <c r="U260" s="24">
        <v>2108475.2999999998</v>
      </c>
      <c r="V260" s="24"/>
      <c r="W260" s="24">
        <v>204200.3</v>
      </c>
      <c r="X260" s="24"/>
      <c r="Y260" s="24">
        <v>363175</v>
      </c>
      <c r="Z260" s="24"/>
      <c r="AA260" s="24">
        <v>90000</v>
      </c>
      <c r="AB260" s="24"/>
      <c r="AC260" s="24">
        <v>0</v>
      </c>
      <c r="AD260" s="24"/>
      <c r="AE260" s="24">
        <f t="shared" si="9"/>
        <v>5880076.2199999997</v>
      </c>
      <c r="AF260" s="24"/>
      <c r="AG260" s="24">
        <v>737554.33</v>
      </c>
      <c r="AH260" s="24"/>
      <c r="AI260" s="24">
        <v>1084440.21</v>
      </c>
      <c r="AJ260" s="24"/>
      <c r="AK260" s="24">
        <v>1821994.54</v>
      </c>
      <c r="AL260" s="24">
        <f>+'Gov Rev'!AI260-'Gov Exp'!AE260+'Gov Exp'!AI260-'Gov Exp'!AK260</f>
        <v>0</v>
      </c>
      <c r="AM260" s="15" t="str">
        <f>'Gov Rev'!A260</f>
        <v>Greenhills</v>
      </c>
      <c r="AN260" s="15" t="str">
        <f t="shared" si="10"/>
        <v>Greenhills</v>
      </c>
      <c r="AO260" s="15" t="b">
        <f t="shared" si="11"/>
        <v>1</v>
      </c>
    </row>
    <row r="261" spans="1:41" s="31" customFormat="1" ht="12" customHeight="1" x14ac:dyDescent="0.2">
      <c r="A261" s="1" t="s">
        <v>113</v>
      </c>
      <c r="B261" s="1"/>
      <c r="C261" s="1" t="s">
        <v>769</v>
      </c>
      <c r="D261" s="28"/>
      <c r="E261" s="24">
        <v>304845.2</v>
      </c>
      <c r="F261" s="24"/>
      <c r="G261" s="24">
        <v>3289.06</v>
      </c>
      <c r="H261" s="24"/>
      <c r="I261" s="24">
        <v>1812.35</v>
      </c>
      <c r="J261" s="24"/>
      <c r="K261" s="24">
        <v>0</v>
      </c>
      <c r="L261" s="24"/>
      <c r="M261" s="24">
        <v>0</v>
      </c>
      <c r="N261" s="24"/>
      <c r="O261" s="24">
        <v>90946.32</v>
      </c>
      <c r="P261" s="24"/>
      <c r="Q261" s="24">
        <v>149214.95000000001</v>
      </c>
      <c r="R261" s="24"/>
      <c r="S261" s="24">
        <v>190.56</v>
      </c>
      <c r="T261" s="24"/>
      <c r="U261" s="24">
        <v>0</v>
      </c>
      <c r="V261" s="24"/>
      <c r="W261" s="24">
        <v>0</v>
      </c>
      <c r="X261" s="24"/>
      <c r="Y261" s="24">
        <v>241775.44</v>
      </c>
      <c r="Z261" s="24"/>
      <c r="AA261" s="24">
        <v>0</v>
      </c>
      <c r="AB261" s="24"/>
      <c r="AC261" s="24">
        <v>3616.24</v>
      </c>
      <c r="AD261" s="24"/>
      <c r="AE261" s="24">
        <f t="shared" si="9"/>
        <v>795690.12000000011</v>
      </c>
      <c r="AF261" s="24"/>
      <c r="AG261" s="24">
        <v>-69151.75</v>
      </c>
      <c r="AH261" s="24"/>
      <c r="AI261" s="24">
        <v>574165.62</v>
      </c>
      <c r="AJ261" s="24"/>
      <c r="AK261" s="24">
        <v>505013.87</v>
      </c>
      <c r="AL261" s="24">
        <f>+'Gov Rev'!AI261-'Gov Exp'!AE261+'Gov Exp'!AI261-'Gov Exp'!AK261</f>
        <v>0</v>
      </c>
      <c r="AM261" s="15" t="str">
        <f>'Gov Rev'!A261</f>
        <v>Greenwich</v>
      </c>
      <c r="AN261" s="15" t="str">
        <f t="shared" si="10"/>
        <v>Greenwich</v>
      </c>
      <c r="AO261" s="15" t="b">
        <f t="shared" si="11"/>
        <v>1</v>
      </c>
    </row>
    <row r="262" spans="1:41" s="31" customFormat="1" ht="12" hidden="1" customHeight="1" x14ac:dyDescent="0.2">
      <c r="A262" s="1" t="s">
        <v>354</v>
      </c>
      <c r="B262" s="1"/>
      <c r="C262" s="1" t="s">
        <v>353</v>
      </c>
      <c r="D262" s="15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>
        <f t="shared" si="9"/>
        <v>0</v>
      </c>
      <c r="AF262" s="24"/>
      <c r="AG262" s="24"/>
      <c r="AH262" s="24"/>
      <c r="AI262" s="24"/>
      <c r="AJ262" s="24"/>
      <c r="AK262" s="24"/>
      <c r="AL262" s="24">
        <f>+'Gov Rev'!AI262-'Gov Exp'!AE262+'Gov Exp'!AI262-'Gov Exp'!AK262</f>
        <v>0</v>
      </c>
      <c r="AM262" s="15" t="str">
        <f>'Gov Rev'!A262</f>
        <v>Groveport</v>
      </c>
      <c r="AN262" s="15" t="str">
        <f t="shared" si="10"/>
        <v>Groveport</v>
      </c>
      <c r="AO262" s="15" t="b">
        <f t="shared" si="11"/>
        <v>1</v>
      </c>
    </row>
    <row r="263" spans="1:41" s="31" customFormat="1" ht="12" customHeight="1" x14ac:dyDescent="0.2">
      <c r="A263" s="15" t="s">
        <v>686</v>
      </c>
      <c r="B263" s="15"/>
      <c r="C263" s="15" t="s">
        <v>496</v>
      </c>
      <c r="D263" s="15"/>
      <c r="E263" s="24">
        <v>36860</v>
      </c>
      <c r="F263" s="24"/>
      <c r="G263" s="24">
        <v>86</v>
      </c>
      <c r="H263" s="24"/>
      <c r="I263" s="24">
        <v>0</v>
      </c>
      <c r="J263" s="24"/>
      <c r="K263" s="24">
        <v>0</v>
      </c>
      <c r="L263" s="24"/>
      <c r="M263" s="24">
        <v>0</v>
      </c>
      <c r="N263" s="24"/>
      <c r="O263" s="24">
        <v>21069</v>
      </c>
      <c r="P263" s="24"/>
      <c r="Q263" s="24">
        <v>37163</v>
      </c>
      <c r="R263" s="24"/>
      <c r="S263" s="24">
        <v>3470</v>
      </c>
      <c r="T263" s="24"/>
      <c r="U263" s="24">
        <v>0</v>
      </c>
      <c r="V263" s="24"/>
      <c r="W263" s="24">
        <v>0</v>
      </c>
      <c r="X263" s="24"/>
      <c r="Y263" s="24">
        <v>15812</v>
      </c>
      <c r="Z263" s="24"/>
      <c r="AA263" s="24">
        <v>0</v>
      </c>
      <c r="AB263" s="24"/>
      <c r="AC263" s="24">
        <v>0</v>
      </c>
      <c r="AD263" s="24"/>
      <c r="AE263" s="24">
        <f t="shared" si="9"/>
        <v>114460</v>
      </c>
      <c r="AF263" s="24"/>
      <c r="AG263" s="24">
        <f>20495-15812</f>
        <v>4683</v>
      </c>
      <c r="AH263" s="24"/>
      <c r="AI263" s="24">
        <f>AK263-AG263</f>
        <v>243813</v>
      </c>
      <c r="AJ263" s="24"/>
      <c r="AK263" s="24">
        <v>248496</v>
      </c>
      <c r="AL263" s="24">
        <f>+'Gov Rev'!AI263-'Gov Exp'!AE263+'Gov Exp'!AI263-'Gov Exp'!AK263</f>
        <v>0</v>
      </c>
      <c r="AM263" s="15" t="str">
        <f>'Gov Rev'!A263</f>
        <v>Grower Hill</v>
      </c>
      <c r="AN263" s="15" t="str">
        <f t="shared" si="10"/>
        <v>Grower Hill</v>
      </c>
      <c r="AO263" s="15" t="b">
        <f t="shared" si="11"/>
        <v>1</v>
      </c>
    </row>
    <row r="264" spans="1:41" s="31" customFormat="1" ht="12" customHeight="1" x14ac:dyDescent="0.2">
      <c r="A264" s="1" t="s">
        <v>365</v>
      </c>
      <c r="B264" s="1"/>
      <c r="C264" s="1" t="s">
        <v>82</v>
      </c>
      <c r="D264" s="15"/>
      <c r="E264" s="24">
        <v>53075.56</v>
      </c>
      <c r="F264" s="24"/>
      <c r="G264" s="24">
        <v>172.66</v>
      </c>
      <c r="H264" s="24"/>
      <c r="I264" s="24">
        <v>1380.56</v>
      </c>
      <c r="J264" s="24"/>
      <c r="K264" s="24">
        <v>0</v>
      </c>
      <c r="L264" s="24"/>
      <c r="M264" s="24">
        <v>0</v>
      </c>
      <c r="N264" s="24"/>
      <c r="O264" s="24">
        <v>33280.58</v>
      </c>
      <c r="P264" s="24"/>
      <c r="Q264" s="24">
        <v>42665.35</v>
      </c>
      <c r="R264" s="24"/>
      <c r="S264" s="24">
        <v>58279.74</v>
      </c>
      <c r="T264" s="24"/>
      <c r="U264" s="24">
        <v>0</v>
      </c>
      <c r="V264" s="24"/>
      <c r="W264" s="24">
        <v>0</v>
      </c>
      <c r="X264" s="24"/>
      <c r="Y264" s="24">
        <v>0</v>
      </c>
      <c r="Z264" s="24"/>
      <c r="AA264" s="24">
        <v>0</v>
      </c>
      <c r="AB264" s="24"/>
      <c r="AC264" s="24">
        <v>0</v>
      </c>
      <c r="AD264" s="24"/>
      <c r="AE264" s="24">
        <f t="shared" si="9"/>
        <v>188854.44999999998</v>
      </c>
      <c r="AF264" s="24"/>
      <c r="AG264" s="24">
        <v>-19161.419999999998</v>
      </c>
      <c r="AH264" s="24"/>
      <c r="AI264" s="24">
        <v>341237.3</v>
      </c>
      <c r="AJ264" s="24"/>
      <c r="AK264" s="24">
        <v>322075.88</v>
      </c>
      <c r="AL264" s="24">
        <f>+'Gov Rev'!AI264-'Gov Exp'!AE264+'Gov Exp'!AI264-'Gov Exp'!AK264</f>
        <v>0</v>
      </c>
      <c r="AM264" s="15" t="str">
        <f>'Gov Rev'!A264</f>
        <v>Hamden</v>
      </c>
      <c r="AN264" s="15" t="str">
        <f t="shared" si="10"/>
        <v>Hamden</v>
      </c>
      <c r="AO264" s="15" t="b">
        <f t="shared" si="11"/>
        <v>1</v>
      </c>
    </row>
    <row r="265" spans="1:41" s="31" customFormat="1" ht="12" customHeight="1" x14ac:dyDescent="0.2">
      <c r="A265" s="1" t="s">
        <v>23</v>
      </c>
      <c r="B265" s="1"/>
      <c r="C265" s="1" t="s">
        <v>742</v>
      </c>
      <c r="D265" s="15"/>
      <c r="E265" s="24">
        <v>23749.73</v>
      </c>
      <c r="F265" s="24"/>
      <c r="G265" s="24">
        <v>1109.8399999999999</v>
      </c>
      <c r="H265" s="24"/>
      <c r="I265" s="24">
        <v>0</v>
      </c>
      <c r="J265" s="24"/>
      <c r="K265" s="24">
        <v>0</v>
      </c>
      <c r="L265" s="24"/>
      <c r="M265" s="24">
        <v>0</v>
      </c>
      <c r="N265" s="24"/>
      <c r="O265" s="24">
        <v>16202.77</v>
      </c>
      <c r="P265" s="24"/>
      <c r="Q265" s="24">
        <v>22972.66</v>
      </c>
      <c r="R265" s="24"/>
      <c r="S265" s="24">
        <v>0</v>
      </c>
      <c r="T265" s="24"/>
      <c r="U265" s="24">
        <v>0</v>
      </c>
      <c r="V265" s="24"/>
      <c r="W265" s="24">
        <v>77393.759999999995</v>
      </c>
      <c r="X265" s="24"/>
      <c r="Y265" s="24">
        <v>0</v>
      </c>
      <c r="Z265" s="24"/>
      <c r="AA265" s="24">
        <v>0</v>
      </c>
      <c r="AB265" s="24"/>
      <c r="AC265" s="24">
        <v>0</v>
      </c>
      <c r="AD265" s="24"/>
      <c r="AE265" s="24">
        <f t="shared" si="9"/>
        <v>141428.76</v>
      </c>
      <c r="AF265" s="24"/>
      <c r="AG265" s="24">
        <v>9283.42</v>
      </c>
      <c r="AH265" s="24"/>
      <c r="AI265" s="24">
        <v>128681.36</v>
      </c>
      <c r="AJ265" s="24"/>
      <c r="AK265" s="24">
        <v>137964.78</v>
      </c>
      <c r="AL265" s="24">
        <f>+'Gov Rev'!AI265-'Gov Exp'!AE265+'Gov Exp'!AI265-'Gov Exp'!AK265</f>
        <v>0</v>
      </c>
      <c r="AM265" s="15" t="str">
        <f>'Gov Rev'!A265</f>
        <v>Hamersville</v>
      </c>
      <c r="AN265" s="15" t="str">
        <f t="shared" si="10"/>
        <v>Hamersville</v>
      </c>
      <c r="AO265" s="15" t="b">
        <f t="shared" si="11"/>
        <v>1</v>
      </c>
    </row>
    <row r="266" spans="1:41" s="31" customFormat="1" ht="12" customHeight="1" x14ac:dyDescent="0.2">
      <c r="A266" s="1" t="s">
        <v>924</v>
      </c>
      <c r="B266" s="1"/>
      <c r="C266" s="1" t="s">
        <v>407</v>
      </c>
      <c r="D266" s="15"/>
      <c r="E266" s="24">
        <v>63356.49</v>
      </c>
      <c r="F266" s="24"/>
      <c r="G266" s="24">
        <v>226.66</v>
      </c>
      <c r="H266" s="24"/>
      <c r="I266" s="24">
        <v>700</v>
      </c>
      <c r="J266" s="24"/>
      <c r="K266" s="24">
        <v>0</v>
      </c>
      <c r="L266" s="24"/>
      <c r="M266" s="24">
        <v>348.68</v>
      </c>
      <c r="N266" s="24"/>
      <c r="O266" s="24">
        <v>7715.51</v>
      </c>
      <c r="P266" s="24"/>
      <c r="Q266" s="24">
        <v>86818.8</v>
      </c>
      <c r="R266" s="24"/>
      <c r="S266" s="24">
        <v>0</v>
      </c>
      <c r="T266" s="24"/>
      <c r="U266" s="24">
        <v>0</v>
      </c>
      <c r="V266" s="24"/>
      <c r="W266" s="24">
        <v>0</v>
      </c>
      <c r="X266" s="24"/>
      <c r="Y266" s="24">
        <v>0</v>
      </c>
      <c r="Z266" s="24"/>
      <c r="AA266" s="24">
        <v>0</v>
      </c>
      <c r="AB266" s="24"/>
      <c r="AC266" s="24">
        <v>0</v>
      </c>
      <c r="AD266" s="24"/>
      <c r="AE266" s="24">
        <f t="shared" si="9"/>
        <v>159166.14000000001</v>
      </c>
      <c r="AF266" s="24"/>
      <c r="AG266" s="24">
        <v>19971.96</v>
      </c>
      <c r="AH266" s="24"/>
      <c r="AI266" s="24">
        <v>184412.2</v>
      </c>
      <c r="AJ266" s="24"/>
      <c r="AK266" s="24">
        <v>204384.16</v>
      </c>
      <c r="AL266" s="24">
        <f>+'Gov Rev'!AI266-'Gov Exp'!AE266+'Gov Exp'!AI266-'Gov Exp'!AK266</f>
        <v>0</v>
      </c>
      <c r="AM266" s="15" t="str">
        <f>'Gov Rev'!A266</f>
        <v>Hamler</v>
      </c>
      <c r="AN266" s="15" t="str">
        <f t="shared" si="10"/>
        <v>Hamler</v>
      </c>
      <c r="AO266" s="15" t="b">
        <f t="shared" si="11"/>
        <v>1</v>
      </c>
    </row>
    <row r="267" spans="1:41" s="31" customFormat="1" ht="12" customHeight="1" x14ac:dyDescent="0.2">
      <c r="A267" s="1" t="s">
        <v>126</v>
      </c>
      <c r="B267" s="1"/>
      <c r="C267" s="1" t="s">
        <v>773</v>
      </c>
      <c r="D267" s="15"/>
      <c r="E267" s="24">
        <v>196699.82</v>
      </c>
      <c r="F267" s="24"/>
      <c r="G267" s="24">
        <v>0</v>
      </c>
      <c r="H267" s="24"/>
      <c r="I267" s="24">
        <v>2081.6799999999998</v>
      </c>
      <c r="J267" s="24"/>
      <c r="K267" s="24">
        <v>0</v>
      </c>
      <c r="L267" s="24"/>
      <c r="M267" s="24">
        <v>0</v>
      </c>
      <c r="N267" s="24"/>
      <c r="O267" s="24">
        <v>16742.73</v>
      </c>
      <c r="P267" s="24"/>
      <c r="Q267" s="24">
        <v>94080.52</v>
      </c>
      <c r="R267" s="24"/>
      <c r="S267" s="24">
        <v>23082</v>
      </c>
      <c r="T267" s="24"/>
      <c r="U267" s="24">
        <v>10988.08</v>
      </c>
      <c r="V267" s="24"/>
      <c r="W267" s="24">
        <v>415.48</v>
      </c>
      <c r="X267" s="24"/>
      <c r="Y267" s="24">
        <v>0</v>
      </c>
      <c r="Z267" s="24"/>
      <c r="AA267" s="24">
        <v>0</v>
      </c>
      <c r="AB267" s="24"/>
      <c r="AC267" s="24">
        <v>21150.7</v>
      </c>
      <c r="AD267" s="24"/>
      <c r="AE267" s="24">
        <f t="shared" si="9"/>
        <v>365241.01</v>
      </c>
      <c r="AF267" s="24"/>
      <c r="AG267" s="24">
        <v>3680.74</v>
      </c>
      <c r="AH267" s="24"/>
      <c r="AI267" s="24">
        <v>19031.46</v>
      </c>
      <c r="AJ267" s="24"/>
      <c r="AK267" s="24">
        <v>22712.2</v>
      </c>
      <c r="AL267" s="24">
        <f>+'Gov Rev'!AI267-'Gov Exp'!AE267+'Gov Exp'!AI267-'Gov Exp'!AK267</f>
        <v>0</v>
      </c>
      <c r="AM267" s="15" t="str">
        <f>'Gov Rev'!A267</f>
        <v>Hanging Rock</v>
      </c>
      <c r="AN267" s="15" t="str">
        <f t="shared" si="10"/>
        <v>Hanging Rock</v>
      </c>
      <c r="AO267" s="15" t="b">
        <f t="shared" si="11"/>
        <v>1</v>
      </c>
    </row>
    <row r="268" spans="1:41" s="31" customFormat="1" ht="12" customHeight="1" x14ac:dyDescent="0.2">
      <c r="A268" s="1" t="s">
        <v>820</v>
      </c>
      <c r="B268" s="1"/>
      <c r="C268" s="1" t="s">
        <v>439</v>
      </c>
      <c r="D268" s="15"/>
      <c r="E268" s="24">
        <v>75813.67</v>
      </c>
      <c r="F268" s="24"/>
      <c r="G268" s="24">
        <v>0</v>
      </c>
      <c r="H268" s="24"/>
      <c r="I268" s="24">
        <v>0</v>
      </c>
      <c r="J268" s="24"/>
      <c r="K268" s="24">
        <v>0</v>
      </c>
      <c r="L268" s="24"/>
      <c r="M268" s="24">
        <v>9515.9699999999993</v>
      </c>
      <c r="N268" s="24"/>
      <c r="O268" s="24">
        <v>93011.57</v>
      </c>
      <c r="P268" s="24"/>
      <c r="Q268" s="24">
        <v>54263.57</v>
      </c>
      <c r="R268" s="24"/>
      <c r="S268" s="24">
        <v>0</v>
      </c>
      <c r="T268" s="24"/>
      <c r="U268" s="24">
        <v>0</v>
      </c>
      <c r="V268" s="24"/>
      <c r="W268" s="24">
        <v>0</v>
      </c>
      <c r="X268" s="24"/>
      <c r="Y268" s="24">
        <v>0</v>
      </c>
      <c r="Z268" s="24"/>
      <c r="AA268" s="24">
        <v>0</v>
      </c>
      <c r="AB268" s="24"/>
      <c r="AC268" s="24">
        <v>0</v>
      </c>
      <c r="AD268" s="24"/>
      <c r="AE268" s="24">
        <f t="shared" si="9"/>
        <v>232604.78000000003</v>
      </c>
      <c r="AF268" s="24"/>
      <c r="AG268" s="24">
        <v>51579.98</v>
      </c>
      <c r="AH268" s="24"/>
      <c r="AI268" s="24">
        <v>71833.06</v>
      </c>
      <c r="AJ268" s="24"/>
      <c r="AK268" s="24">
        <v>123413.04</v>
      </c>
      <c r="AL268" s="24">
        <f>+'Gov Rev'!AI268-'Gov Exp'!AE268+'Gov Exp'!AI268-'Gov Exp'!AK268</f>
        <v>0</v>
      </c>
      <c r="AM268" s="15" t="str">
        <f>'Gov Rev'!A268</f>
        <v>Hanover</v>
      </c>
      <c r="AN268" s="15" t="str">
        <f t="shared" si="10"/>
        <v>Hanover</v>
      </c>
      <c r="AO268" s="15" t="b">
        <f t="shared" si="11"/>
        <v>1</v>
      </c>
    </row>
    <row r="269" spans="1:41" s="31" customFormat="1" ht="12" customHeight="1" x14ac:dyDescent="0.2">
      <c r="A269" s="1" t="s">
        <v>42</v>
      </c>
      <c r="B269" s="1"/>
      <c r="C269" s="1" t="s">
        <v>749</v>
      </c>
      <c r="D269" s="28"/>
      <c r="E269" s="24">
        <v>12190.04</v>
      </c>
      <c r="F269" s="24"/>
      <c r="G269" s="24">
        <v>619.69000000000005</v>
      </c>
      <c r="H269" s="24"/>
      <c r="I269" s="24">
        <v>2322.8200000000002</v>
      </c>
      <c r="J269" s="24"/>
      <c r="K269" s="24">
        <v>0</v>
      </c>
      <c r="L269" s="24"/>
      <c r="M269" s="24">
        <v>0</v>
      </c>
      <c r="N269" s="24"/>
      <c r="O269" s="24">
        <v>18095.93</v>
      </c>
      <c r="P269" s="24"/>
      <c r="Q269" s="24">
        <v>31820.75</v>
      </c>
      <c r="R269" s="24"/>
      <c r="S269" s="24">
        <v>46368.65</v>
      </c>
      <c r="T269" s="24"/>
      <c r="U269" s="24">
        <v>0</v>
      </c>
      <c r="V269" s="24"/>
      <c r="W269" s="24">
        <v>2000</v>
      </c>
      <c r="X269" s="24"/>
      <c r="Y269" s="24">
        <v>4300</v>
      </c>
      <c r="Z269" s="24"/>
      <c r="AA269" s="24">
        <v>0</v>
      </c>
      <c r="AB269" s="24"/>
      <c r="AC269" s="24">
        <v>0</v>
      </c>
      <c r="AD269" s="24"/>
      <c r="AE269" s="24">
        <f t="shared" si="9"/>
        <v>117717.88</v>
      </c>
      <c r="AF269" s="24"/>
      <c r="AG269" s="24">
        <v>-8270.9</v>
      </c>
      <c r="AH269" s="24"/>
      <c r="AI269" s="24">
        <v>96278.26</v>
      </c>
      <c r="AJ269" s="24"/>
      <c r="AK269" s="24">
        <v>88007.360000000001</v>
      </c>
      <c r="AL269" s="24">
        <f>+'Gov Rev'!AI269-'Gov Exp'!AE269+'Gov Exp'!AI269-'Gov Exp'!AK269</f>
        <v>0</v>
      </c>
      <c r="AM269" s="15" t="str">
        <f>'Gov Rev'!A269</f>
        <v>Hanoverton</v>
      </c>
      <c r="AN269" s="15" t="str">
        <f t="shared" si="10"/>
        <v>Hanoverton</v>
      </c>
      <c r="AO269" s="15" t="b">
        <f t="shared" si="11"/>
        <v>1</v>
      </c>
    </row>
    <row r="270" spans="1:41" s="31" customFormat="1" ht="12" customHeight="1" x14ac:dyDescent="0.2">
      <c r="A270" s="1" t="s">
        <v>140</v>
      </c>
      <c r="B270" s="1"/>
      <c r="C270" s="1" t="s">
        <v>777</v>
      </c>
      <c r="D270" s="15"/>
      <c r="E270" s="24">
        <v>2459.5700000000002</v>
      </c>
      <c r="F270" s="24"/>
      <c r="G270" s="24">
        <v>132.96</v>
      </c>
      <c r="H270" s="24"/>
      <c r="I270" s="24">
        <v>13080.02</v>
      </c>
      <c r="J270" s="24"/>
      <c r="K270" s="24">
        <v>1073.58</v>
      </c>
      <c r="L270" s="24"/>
      <c r="M270" s="24">
        <v>0</v>
      </c>
      <c r="N270" s="24"/>
      <c r="O270" s="24">
        <v>3207.34</v>
      </c>
      <c r="P270" s="24"/>
      <c r="Q270" s="24">
        <v>35039.26</v>
      </c>
      <c r="R270" s="24"/>
      <c r="S270" s="24">
        <v>0</v>
      </c>
      <c r="T270" s="24"/>
      <c r="U270" s="24">
        <v>0</v>
      </c>
      <c r="V270" s="24"/>
      <c r="W270" s="24">
        <v>0</v>
      </c>
      <c r="X270" s="24"/>
      <c r="Y270" s="24">
        <v>0</v>
      </c>
      <c r="Z270" s="24"/>
      <c r="AA270" s="24">
        <v>0</v>
      </c>
      <c r="AB270" s="24"/>
      <c r="AC270" s="24">
        <v>0</v>
      </c>
      <c r="AD270" s="24"/>
      <c r="AE270" s="24">
        <f t="shared" si="9"/>
        <v>54992.73</v>
      </c>
      <c r="AF270" s="24"/>
      <c r="AG270" s="24">
        <v>-10930.82</v>
      </c>
      <c r="AH270" s="24"/>
      <c r="AI270" s="24">
        <v>43893.84</v>
      </c>
      <c r="AJ270" s="24"/>
      <c r="AK270" s="24">
        <v>32963.019999999997</v>
      </c>
      <c r="AL270" s="24">
        <f>+'Gov Rev'!AI270-'Gov Exp'!AE270+'Gov Exp'!AI270-'Gov Exp'!AK270</f>
        <v>0</v>
      </c>
      <c r="AM270" s="15" t="str">
        <f>'Gov Rev'!A270</f>
        <v>Harbor View</v>
      </c>
      <c r="AN270" s="15" t="str">
        <f t="shared" si="10"/>
        <v>Harbor View</v>
      </c>
      <c r="AO270" s="15" t="b">
        <f t="shared" si="11"/>
        <v>1</v>
      </c>
    </row>
    <row r="271" spans="1:41" s="31" customFormat="1" ht="12" customHeight="1" x14ac:dyDescent="0.2">
      <c r="A271" s="1" t="s">
        <v>264</v>
      </c>
      <c r="B271" s="1"/>
      <c r="C271" s="1" t="s">
        <v>814</v>
      </c>
      <c r="D271" s="15"/>
      <c r="E271" s="24">
        <v>12503.86</v>
      </c>
      <c r="F271" s="24"/>
      <c r="G271" s="24">
        <v>494.75</v>
      </c>
      <c r="H271" s="24"/>
      <c r="I271" s="24">
        <v>3573.64</v>
      </c>
      <c r="J271" s="24"/>
      <c r="K271" s="24">
        <v>0</v>
      </c>
      <c r="L271" s="24"/>
      <c r="M271" s="24">
        <v>0</v>
      </c>
      <c r="N271" s="24"/>
      <c r="O271" s="24">
        <v>14375.07</v>
      </c>
      <c r="P271" s="24"/>
      <c r="Q271" s="24">
        <v>17601.29</v>
      </c>
      <c r="R271" s="24"/>
      <c r="S271" s="24">
        <v>0</v>
      </c>
      <c r="T271" s="24"/>
      <c r="U271" s="24">
        <v>0</v>
      </c>
      <c r="V271" s="24"/>
      <c r="W271" s="24">
        <v>0</v>
      </c>
      <c r="X271" s="24"/>
      <c r="Y271" s="24">
        <v>0</v>
      </c>
      <c r="Z271" s="24"/>
      <c r="AA271" s="24">
        <v>0</v>
      </c>
      <c r="AB271" s="24"/>
      <c r="AC271" s="24">
        <v>0</v>
      </c>
      <c r="AD271" s="24"/>
      <c r="AE271" s="24">
        <f t="shared" si="9"/>
        <v>48548.61</v>
      </c>
      <c r="AF271" s="24"/>
      <c r="AG271" s="24">
        <v>-13166.78</v>
      </c>
      <c r="AH271" s="24"/>
      <c r="AI271" s="24">
        <v>51133.57</v>
      </c>
      <c r="AJ271" s="24"/>
      <c r="AK271" s="24">
        <v>37966.79</v>
      </c>
      <c r="AL271" s="24">
        <f>+'Gov Rev'!AI271-'Gov Exp'!AE271+'Gov Exp'!AI271-'Gov Exp'!AK271</f>
        <v>0</v>
      </c>
      <c r="AM271" s="15" t="str">
        <f>'Gov Rev'!A271</f>
        <v>Harpster</v>
      </c>
      <c r="AN271" s="15" t="str">
        <f t="shared" si="10"/>
        <v>Harpster</v>
      </c>
      <c r="AO271" s="15" t="b">
        <f t="shared" si="11"/>
        <v>1</v>
      </c>
    </row>
    <row r="272" spans="1:41" s="31" customFormat="1" ht="12" customHeight="1" x14ac:dyDescent="0.2">
      <c r="A272" s="1" t="s">
        <v>925</v>
      </c>
      <c r="B272" s="1"/>
      <c r="C272" s="1" t="s">
        <v>353</v>
      </c>
      <c r="D272" s="15"/>
      <c r="E272" s="24">
        <v>29887.73</v>
      </c>
      <c r="F272" s="24"/>
      <c r="G272" s="24">
        <v>952.44</v>
      </c>
      <c r="H272" s="24"/>
      <c r="I272" s="24">
        <v>0</v>
      </c>
      <c r="J272" s="24"/>
      <c r="K272" s="24">
        <v>0</v>
      </c>
      <c r="L272" s="24"/>
      <c r="M272" s="24">
        <v>0</v>
      </c>
      <c r="N272" s="24"/>
      <c r="O272" s="24">
        <v>8766.0499999999993</v>
      </c>
      <c r="P272" s="24"/>
      <c r="Q272" s="24">
        <v>75259.929999999993</v>
      </c>
      <c r="R272" s="24"/>
      <c r="S272" s="24">
        <v>0</v>
      </c>
      <c r="T272" s="24"/>
      <c r="U272" s="24">
        <v>0</v>
      </c>
      <c r="V272" s="24"/>
      <c r="W272" s="24">
        <v>0</v>
      </c>
      <c r="X272" s="24"/>
      <c r="Y272" s="24">
        <v>0</v>
      </c>
      <c r="Z272" s="24"/>
      <c r="AA272" s="24">
        <v>0</v>
      </c>
      <c r="AB272" s="24"/>
      <c r="AC272" s="24">
        <v>0</v>
      </c>
      <c r="AD272" s="24"/>
      <c r="AE272" s="24">
        <f t="shared" si="9"/>
        <v>114866.15</v>
      </c>
      <c r="AF272" s="24"/>
      <c r="AG272" s="24">
        <v>2647.37</v>
      </c>
      <c r="AH272" s="24"/>
      <c r="AI272" s="24">
        <v>55466.84</v>
      </c>
      <c r="AJ272" s="24"/>
      <c r="AK272" s="24">
        <v>58114.21</v>
      </c>
      <c r="AL272" s="24">
        <f>+'Gov Rev'!AI272-'Gov Exp'!AE272+'Gov Exp'!AI272-'Gov Exp'!AK272</f>
        <v>0</v>
      </c>
      <c r="AM272" s="15" t="str">
        <f>'Gov Rev'!A272</f>
        <v>Harrisburg</v>
      </c>
      <c r="AN272" s="15" t="str">
        <f t="shared" si="10"/>
        <v>Harrisburg</v>
      </c>
      <c r="AO272" s="15" t="b">
        <f t="shared" si="11"/>
        <v>1</v>
      </c>
    </row>
    <row r="273" spans="1:41" s="31" customFormat="1" ht="12" customHeight="1" x14ac:dyDescent="0.2">
      <c r="A273" s="1" t="s">
        <v>832</v>
      </c>
      <c r="B273" s="1"/>
      <c r="C273" s="1" t="s">
        <v>765</v>
      </c>
      <c r="D273" s="15"/>
      <c r="E273" s="24">
        <v>9216.91</v>
      </c>
      <c r="F273" s="24"/>
      <c r="G273" s="24">
        <v>817.4</v>
      </c>
      <c r="H273" s="24"/>
      <c r="I273" s="24">
        <v>11954.84</v>
      </c>
      <c r="J273" s="24"/>
      <c r="K273" s="24">
        <v>0</v>
      </c>
      <c r="L273" s="24"/>
      <c r="M273" s="24">
        <v>0</v>
      </c>
      <c r="N273" s="24"/>
      <c r="O273" s="24">
        <v>6688.88</v>
      </c>
      <c r="P273" s="24"/>
      <c r="Q273" s="24">
        <v>21911.15</v>
      </c>
      <c r="R273" s="24"/>
      <c r="S273" s="24">
        <v>69493.7</v>
      </c>
      <c r="T273" s="24"/>
      <c r="U273" s="24">
        <v>0</v>
      </c>
      <c r="V273" s="24"/>
      <c r="W273" s="24">
        <v>458.4</v>
      </c>
      <c r="X273" s="24"/>
      <c r="Y273" s="24">
        <v>0</v>
      </c>
      <c r="Z273" s="24"/>
      <c r="AA273" s="24">
        <v>0</v>
      </c>
      <c r="AB273" s="24"/>
      <c r="AC273" s="24">
        <v>167.58</v>
      </c>
      <c r="AD273" s="24"/>
      <c r="AE273" s="24">
        <f t="shared" ref="AE273:AE338" si="12">SUM(E273:AC273)</f>
        <v>120708.86</v>
      </c>
      <c r="AF273" s="24"/>
      <c r="AG273" s="24">
        <v>-16857.759999999998</v>
      </c>
      <c r="AH273" s="24"/>
      <c r="AI273" s="24">
        <v>104093.55</v>
      </c>
      <c r="AJ273" s="24"/>
      <c r="AK273" s="24">
        <v>87235.79</v>
      </c>
      <c r="AL273" s="24">
        <f>+'Gov Rev'!AI273-'Gov Exp'!AE273+'Gov Exp'!AI273-'Gov Exp'!AK273</f>
        <v>0</v>
      </c>
      <c r="AM273" s="15" t="str">
        <f>'Gov Rev'!A273</f>
        <v>Harrisville</v>
      </c>
      <c r="AN273" s="15" t="str">
        <f t="shared" ref="AN273:AN338" si="13">A273</f>
        <v>Harrisville</v>
      </c>
      <c r="AO273" s="15" t="b">
        <f t="shared" ref="AO273:AO338" si="14">AM273=AN273</f>
        <v>1</v>
      </c>
    </row>
    <row r="274" spans="1:41" s="31" customFormat="1" ht="12" customHeight="1" x14ac:dyDescent="0.2">
      <c r="A274" s="1" t="s">
        <v>4</v>
      </c>
      <c r="B274" s="1"/>
      <c r="C274" s="1" t="s">
        <v>737</v>
      </c>
      <c r="D274" s="15"/>
      <c r="E274" s="24">
        <v>7025</v>
      </c>
      <c r="F274" s="24"/>
      <c r="G274" s="24">
        <v>908.69</v>
      </c>
      <c r="H274" s="24"/>
      <c r="I274" s="24">
        <v>2507.08</v>
      </c>
      <c r="J274" s="24"/>
      <c r="K274" s="24">
        <v>0</v>
      </c>
      <c r="L274" s="24"/>
      <c r="M274" s="24">
        <v>0</v>
      </c>
      <c r="N274" s="24"/>
      <c r="O274" s="24">
        <v>16048.34</v>
      </c>
      <c r="P274" s="24"/>
      <c r="Q274" s="24">
        <v>33507.85</v>
      </c>
      <c r="R274" s="24"/>
      <c r="S274" s="24">
        <v>0</v>
      </c>
      <c r="T274" s="24"/>
      <c r="U274" s="24">
        <v>0</v>
      </c>
      <c r="V274" s="24"/>
      <c r="W274" s="24">
        <v>0</v>
      </c>
      <c r="X274" s="24"/>
      <c r="Y274" s="24">
        <v>0</v>
      </c>
      <c r="Z274" s="24"/>
      <c r="AA274" s="24">
        <v>0</v>
      </c>
      <c r="AB274" s="24"/>
      <c r="AC274" s="24">
        <v>0</v>
      </c>
      <c r="AD274" s="24"/>
      <c r="AE274" s="24">
        <f t="shared" si="12"/>
        <v>59996.959999999999</v>
      </c>
      <c r="AF274" s="24"/>
      <c r="AG274" s="24">
        <v>23629.87</v>
      </c>
      <c r="AH274" s="24"/>
      <c r="AI274" s="24">
        <v>3828.38</v>
      </c>
      <c r="AJ274" s="24"/>
      <c r="AK274" s="24">
        <v>27458.25</v>
      </c>
      <c r="AL274" s="24">
        <f>+'Gov Rev'!AI274-'Gov Exp'!AE274+'Gov Exp'!AI274-'Gov Exp'!AK274</f>
        <v>0</v>
      </c>
      <c r="AM274" s="15" t="str">
        <f>'Gov Rev'!A274</f>
        <v>Harrod</v>
      </c>
      <c r="AN274" s="15" t="str">
        <f t="shared" si="13"/>
        <v>Harrod</v>
      </c>
      <c r="AO274" s="15" t="b">
        <f t="shared" si="14"/>
        <v>1</v>
      </c>
    </row>
    <row r="275" spans="1:41" s="31" customFormat="1" ht="12" customHeight="1" x14ac:dyDescent="0.2">
      <c r="A275" s="15" t="s">
        <v>441</v>
      </c>
      <c r="B275" s="15"/>
      <c r="C275" s="15" t="s">
        <v>439</v>
      </c>
      <c r="D275" s="15"/>
      <c r="E275" s="24">
        <v>14180</v>
      </c>
      <c r="F275" s="24"/>
      <c r="G275" s="24">
        <v>900</v>
      </c>
      <c r="H275" s="24"/>
      <c r="I275" s="24">
        <v>0</v>
      </c>
      <c r="J275" s="24"/>
      <c r="K275" s="24">
        <v>322</v>
      </c>
      <c r="L275" s="24"/>
      <c r="M275" s="24">
        <v>18721</v>
      </c>
      <c r="N275" s="24"/>
      <c r="O275" s="24">
        <v>0</v>
      </c>
      <c r="P275" s="24"/>
      <c r="Q275" s="24">
        <f>120415+1</f>
        <v>120416</v>
      </c>
      <c r="R275" s="24"/>
      <c r="S275" s="24">
        <v>0</v>
      </c>
      <c r="T275" s="24"/>
      <c r="U275" s="24">
        <v>66854</v>
      </c>
      <c r="V275" s="24"/>
      <c r="W275" s="24">
        <v>0</v>
      </c>
      <c r="X275" s="24"/>
      <c r="Y275" s="24">
        <v>0</v>
      </c>
      <c r="Z275" s="24"/>
      <c r="AA275" s="24">
        <v>0</v>
      </c>
      <c r="AB275" s="24"/>
      <c r="AC275" s="24">
        <v>0</v>
      </c>
      <c r="AD275" s="24"/>
      <c r="AE275" s="24">
        <f t="shared" si="12"/>
        <v>221393</v>
      </c>
      <c r="AF275" s="24"/>
      <c r="AG275" s="24">
        <v>-44728</v>
      </c>
      <c r="AH275" s="24"/>
      <c r="AI275" s="24">
        <f>AK275+44728</f>
        <v>267006</v>
      </c>
      <c r="AJ275" s="24"/>
      <c r="AK275" s="24">
        <v>222278</v>
      </c>
      <c r="AL275" s="24">
        <f>+'Gov Rev'!AI275-'Gov Exp'!AE275+'Gov Exp'!AI275-'Gov Exp'!AK275</f>
        <v>0</v>
      </c>
      <c r="AM275" s="15" t="str">
        <f>'Gov Rev'!A275</f>
        <v>Hartford</v>
      </c>
      <c r="AN275" s="15" t="str">
        <f t="shared" si="13"/>
        <v>Hartford</v>
      </c>
      <c r="AO275" s="15" t="b">
        <f t="shared" si="14"/>
        <v>1</v>
      </c>
    </row>
    <row r="276" spans="1:41" s="31" customFormat="1" ht="12" customHeight="1" x14ac:dyDescent="0.2">
      <c r="A276" s="15" t="s">
        <v>543</v>
      </c>
      <c r="B276" s="15"/>
      <c r="C276" s="15" t="s">
        <v>540</v>
      </c>
      <c r="D276" s="15"/>
      <c r="E276" s="24">
        <v>960761</v>
      </c>
      <c r="F276" s="24"/>
      <c r="G276" s="24">
        <v>21843</v>
      </c>
      <c r="H276" s="24"/>
      <c r="I276" s="24">
        <v>0</v>
      </c>
      <c r="J276" s="24"/>
      <c r="K276" s="24">
        <v>3007</v>
      </c>
      <c r="L276" s="24"/>
      <c r="M276" s="24">
        <v>0</v>
      </c>
      <c r="N276" s="24"/>
      <c r="O276" s="24">
        <v>336612</v>
      </c>
      <c r="P276" s="24"/>
      <c r="Q276" s="24">
        <f>294568-3</f>
        <v>294565</v>
      </c>
      <c r="R276" s="24"/>
      <c r="S276" s="24">
        <v>610011</v>
      </c>
      <c r="T276" s="24"/>
      <c r="U276" s="24">
        <v>49056</v>
      </c>
      <c r="V276" s="24"/>
      <c r="W276" s="24">
        <v>0</v>
      </c>
      <c r="X276" s="24"/>
      <c r="Y276" s="24">
        <v>246106</v>
      </c>
      <c r="Z276" s="24"/>
      <c r="AA276" s="24">
        <v>257548</v>
      </c>
      <c r="AB276" s="24"/>
      <c r="AC276" s="24">
        <v>13972</v>
      </c>
      <c r="AD276" s="24"/>
      <c r="AE276" s="24">
        <f t="shared" si="12"/>
        <v>2793481</v>
      </c>
      <c r="AF276" s="24"/>
      <c r="AG276" s="24">
        <v>1155</v>
      </c>
      <c r="AH276" s="24"/>
      <c r="AI276" s="24">
        <v>958012</v>
      </c>
      <c r="AJ276" s="24"/>
      <c r="AK276" s="24">
        <v>959167</v>
      </c>
      <c r="AL276" s="24">
        <f>+'Gov Rev'!AI276-'Gov Exp'!AE276+'Gov Exp'!AI276-'Gov Exp'!AK276</f>
        <v>0</v>
      </c>
      <c r="AM276" s="15" t="str">
        <f>'Gov Rev'!A276</f>
        <v>Hartville</v>
      </c>
      <c r="AN276" s="15" t="str">
        <f t="shared" si="13"/>
        <v>Hartville</v>
      </c>
      <c r="AO276" s="15" t="b">
        <f t="shared" si="14"/>
        <v>1</v>
      </c>
    </row>
    <row r="277" spans="1:41" s="31" customFormat="1" ht="12" customHeight="1" x14ac:dyDescent="0.2">
      <c r="A277" s="1" t="s">
        <v>580</v>
      </c>
      <c r="B277" s="1"/>
      <c r="C277" s="1" t="s">
        <v>581</v>
      </c>
      <c r="D277" s="15"/>
      <c r="E277" s="24">
        <v>78186.929999999993</v>
      </c>
      <c r="F277" s="24"/>
      <c r="G277" s="24">
        <v>344.16</v>
      </c>
      <c r="H277" s="24"/>
      <c r="I277" s="24">
        <v>0</v>
      </c>
      <c r="J277" s="24"/>
      <c r="K277" s="24">
        <v>2309.6</v>
      </c>
      <c r="L277" s="24"/>
      <c r="M277" s="24">
        <v>49161.9</v>
      </c>
      <c r="N277" s="24"/>
      <c r="O277" s="24">
        <v>57133.79</v>
      </c>
      <c r="P277" s="24"/>
      <c r="Q277" s="24">
        <v>107793.27</v>
      </c>
      <c r="R277" s="24"/>
      <c r="S277" s="24">
        <v>0</v>
      </c>
      <c r="T277" s="24"/>
      <c r="U277" s="24">
        <v>0</v>
      </c>
      <c r="V277" s="24"/>
      <c r="W277" s="24">
        <v>0</v>
      </c>
      <c r="X277" s="24"/>
      <c r="Y277" s="24">
        <v>60000</v>
      </c>
      <c r="Z277" s="24"/>
      <c r="AA277" s="24">
        <v>0</v>
      </c>
      <c r="AB277" s="24"/>
      <c r="AC277" s="24">
        <v>0</v>
      </c>
      <c r="AD277" s="24"/>
      <c r="AE277" s="24">
        <f t="shared" si="12"/>
        <v>354929.65</v>
      </c>
      <c r="AF277" s="24"/>
      <c r="AG277" s="24">
        <v>33733.1</v>
      </c>
      <c r="AH277" s="24"/>
      <c r="AI277" s="24">
        <v>188885.94</v>
      </c>
      <c r="AJ277" s="24"/>
      <c r="AK277" s="24">
        <v>222619.04</v>
      </c>
      <c r="AL277" s="24">
        <f>+'Gov Rev'!AI277-'Gov Exp'!AE277+'Gov Exp'!AI277-'Gov Exp'!AK277</f>
        <v>0</v>
      </c>
      <c r="AM277" s="15" t="str">
        <f>'Gov Rev'!A277</f>
        <v>Harveysburg</v>
      </c>
      <c r="AN277" s="15" t="str">
        <f t="shared" si="13"/>
        <v>Harveysburg</v>
      </c>
      <c r="AO277" s="15" t="b">
        <f t="shared" si="14"/>
        <v>1</v>
      </c>
    </row>
    <row r="278" spans="1:41" s="31" customFormat="1" ht="12" customHeight="1" x14ac:dyDescent="0.2">
      <c r="A278" s="36" t="s">
        <v>256</v>
      </c>
      <c r="B278" s="36"/>
      <c r="C278" s="36" t="s">
        <v>813</v>
      </c>
      <c r="D278" s="28"/>
      <c r="E278" s="24">
        <v>176843.19</v>
      </c>
      <c r="F278" s="24"/>
      <c r="G278" s="24">
        <v>1878.94</v>
      </c>
      <c r="H278" s="24"/>
      <c r="I278" s="24">
        <v>17093.150000000001</v>
      </c>
      <c r="J278" s="24"/>
      <c r="K278" s="24">
        <v>1614.11</v>
      </c>
      <c r="L278" s="24"/>
      <c r="M278" s="24">
        <v>10655.67</v>
      </c>
      <c r="N278" s="24"/>
      <c r="O278" s="24">
        <v>108093.07</v>
      </c>
      <c r="P278" s="24"/>
      <c r="Q278" s="24">
        <v>75290.5</v>
      </c>
      <c r="R278" s="24"/>
      <c r="S278" s="24">
        <v>36467.65</v>
      </c>
      <c r="T278" s="24"/>
      <c r="U278" s="24">
        <v>0</v>
      </c>
      <c r="V278" s="24"/>
      <c r="W278" s="24">
        <v>0</v>
      </c>
      <c r="X278" s="24"/>
      <c r="Y278" s="24">
        <v>231927.49</v>
      </c>
      <c r="Z278" s="24"/>
      <c r="AA278" s="24">
        <v>20000</v>
      </c>
      <c r="AB278" s="24"/>
      <c r="AC278" s="24">
        <v>0</v>
      </c>
      <c r="AD278" s="24"/>
      <c r="AE278" s="24">
        <f t="shared" si="12"/>
        <v>679863.77</v>
      </c>
      <c r="AF278" s="24"/>
      <c r="AG278" s="24">
        <v>26951.69</v>
      </c>
      <c r="AH278" s="24"/>
      <c r="AI278" s="24">
        <v>641901.67000000004</v>
      </c>
      <c r="AJ278" s="24"/>
      <c r="AK278" s="24">
        <v>668853.36</v>
      </c>
      <c r="AL278" s="24">
        <f>+'Gov Rev'!AI278-'Gov Exp'!AE278+'Gov Exp'!AI278-'Gov Exp'!AK278</f>
        <v>0</v>
      </c>
      <c r="AM278" s="15" t="str">
        <f>'Gov Rev'!A278</f>
        <v>Haskins</v>
      </c>
      <c r="AN278" s="15" t="str">
        <f t="shared" si="13"/>
        <v>Haskins</v>
      </c>
      <c r="AO278" s="15" t="b">
        <f t="shared" si="14"/>
        <v>1</v>
      </c>
    </row>
    <row r="279" spans="1:41" s="31" customFormat="1" ht="12" customHeight="1" x14ac:dyDescent="0.2">
      <c r="A279" s="1" t="s">
        <v>183</v>
      </c>
      <c r="B279" s="1"/>
      <c r="C279" s="1" t="s">
        <v>792</v>
      </c>
      <c r="D279" s="15"/>
      <c r="E279" s="24">
        <v>16495.419999999998</v>
      </c>
      <c r="F279" s="24"/>
      <c r="G279" s="24">
        <v>0</v>
      </c>
      <c r="H279" s="24"/>
      <c r="I279" s="24">
        <v>1992</v>
      </c>
      <c r="J279" s="24"/>
      <c r="K279" s="24">
        <v>0</v>
      </c>
      <c r="L279" s="24"/>
      <c r="M279" s="24">
        <v>0</v>
      </c>
      <c r="N279" s="24"/>
      <c r="O279" s="24">
        <v>3849.39</v>
      </c>
      <c r="P279" s="24"/>
      <c r="Q279" s="24">
        <v>27088.57</v>
      </c>
      <c r="R279" s="24"/>
      <c r="S279" s="24">
        <v>0</v>
      </c>
      <c r="T279" s="24"/>
      <c r="U279" s="24">
        <v>0</v>
      </c>
      <c r="V279" s="24"/>
      <c r="W279" s="24">
        <v>0</v>
      </c>
      <c r="X279" s="24"/>
      <c r="Y279" s="24">
        <v>0</v>
      </c>
      <c r="Z279" s="24"/>
      <c r="AA279" s="24">
        <v>0</v>
      </c>
      <c r="AB279" s="24"/>
      <c r="AC279" s="24">
        <v>0</v>
      </c>
      <c r="AD279" s="24"/>
      <c r="AE279" s="24">
        <f t="shared" si="12"/>
        <v>49425.38</v>
      </c>
      <c r="AF279" s="24"/>
      <c r="AG279" s="24">
        <v>27404.71</v>
      </c>
      <c r="AH279" s="24"/>
      <c r="AI279" s="24">
        <v>216605.08</v>
      </c>
      <c r="AJ279" s="24"/>
      <c r="AK279" s="24">
        <v>244009.79</v>
      </c>
      <c r="AL279" s="24">
        <f>+'Gov Rev'!AI279-'Gov Exp'!AE279+'Gov Exp'!AI279-'Gov Exp'!AK279</f>
        <v>0</v>
      </c>
      <c r="AM279" s="15" t="str">
        <f>'Gov Rev'!A279</f>
        <v>Haviland</v>
      </c>
      <c r="AN279" s="15" t="str">
        <f t="shared" si="13"/>
        <v>Haviland</v>
      </c>
      <c r="AO279" s="15" t="b">
        <f t="shared" si="14"/>
        <v>1</v>
      </c>
    </row>
    <row r="280" spans="1:41" s="31" customFormat="1" ht="12" customHeight="1" x14ac:dyDescent="0.2">
      <c r="A280" s="1" t="s">
        <v>7</v>
      </c>
      <c r="B280" s="1"/>
      <c r="C280" s="1" t="s">
        <v>666</v>
      </c>
      <c r="D280" s="15"/>
      <c r="E280" s="24">
        <v>10294.56</v>
      </c>
      <c r="F280" s="24"/>
      <c r="G280" s="24">
        <v>0</v>
      </c>
      <c r="H280" s="24"/>
      <c r="I280" s="24">
        <v>25.11</v>
      </c>
      <c r="J280" s="24"/>
      <c r="K280" s="24">
        <v>400</v>
      </c>
      <c r="L280" s="24"/>
      <c r="M280" s="24">
        <v>0</v>
      </c>
      <c r="N280" s="24"/>
      <c r="O280" s="24">
        <v>17434.18</v>
      </c>
      <c r="P280" s="24"/>
      <c r="Q280" s="24">
        <v>48393.1</v>
      </c>
      <c r="R280" s="24"/>
      <c r="S280" s="24">
        <v>0</v>
      </c>
      <c r="T280" s="24"/>
      <c r="U280" s="24">
        <v>0</v>
      </c>
      <c r="V280" s="24"/>
      <c r="W280" s="24">
        <v>0</v>
      </c>
      <c r="X280" s="24"/>
      <c r="Y280" s="24">
        <v>0</v>
      </c>
      <c r="Z280" s="24"/>
      <c r="AA280" s="24">
        <v>11706.45</v>
      </c>
      <c r="AB280" s="24"/>
      <c r="AC280" s="24">
        <v>0</v>
      </c>
      <c r="AD280" s="24"/>
      <c r="AE280" s="24">
        <f t="shared" si="12"/>
        <v>88253.4</v>
      </c>
      <c r="AF280" s="24"/>
      <c r="AG280" s="24">
        <v>6695.74</v>
      </c>
      <c r="AH280" s="24"/>
      <c r="AI280" s="24">
        <v>75884.31</v>
      </c>
      <c r="AJ280" s="24"/>
      <c r="AK280" s="24">
        <v>82580.05</v>
      </c>
      <c r="AL280" s="24">
        <f>+'Gov Rev'!AI280-'Gov Exp'!AE280+'Gov Exp'!AI280-'Gov Exp'!AK280</f>
        <v>0</v>
      </c>
      <c r="AM280" s="15" t="str">
        <f>'Gov Rev'!A280</f>
        <v>Hayesville</v>
      </c>
      <c r="AN280" s="15" t="str">
        <f t="shared" si="13"/>
        <v>Hayesville</v>
      </c>
      <c r="AO280" s="15" t="b">
        <f t="shared" si="14"/>
        <v>1</v>
      </c>
    </row>
    <row r="281" spans="1:41" s="31" customFormat="1" ht="12" customHeight="1" x14ac:dyDescent="0.2">
      <c r="A281" s="1" t="s">
        <v>442</v>
      </c>
      <c r="B281" s="1"/>
      <c r="C281" s="1" t="s">
        <v>439</v>
      </c>
      <c r="D281" s="28"/>
      <c r="E281" s="24">
        <v>1853290.21</v>
      </c>
      <c r="F281" s="24"/>
      <c r="G281" s="24">
        <v>2706.76</v>
      </c>
      <c r="H281" s="24"/>
      <c r="I281" s="24">
        <v>28504.35</v>
      </c>
      <c r="J281" s="24"/>
      <c r="K281" s="24">
        <v>72556.2</v>
      </c>
      <c r="L281" s="24"/>
      <c r="M281" s="24">
        <v>0</v>
      </c>
      <c r="N281" s="24"/>
      <c r="O281" s="24">
        <v>352090.45</v>
      </c>
      <c r="P281" s="24"/>
      <c r="Q281" s="24">
        <v>372486.6</v>
      </c>
      <c r="R281" s="24"/>
      <c r="S281" s="24">
        <v>1222151.6100000001</v>
      </c>
      <c r="T281" s="24"/>
      <c r="U281" s="24">
        <v>132115.71</v>
      </c>
      <c r="V281" s="24"/>
      <c r="W281" s="24">
        <v>23074.35</v>
      </c>
      <c r="X281" s="24"/>
      <c r="Y281" s="24">
        <v>1066000</v>
      </c>
      <c r="Z281" s="24"/>
      <c r="AA281" s="24">
        <v>0</v>
      </c>
      <c r="AB281" s="24"/>
      <c r="AC281" s="24">
        <v>0</v>
      </c>
      <c r="AD281" s="24"/>
      <c r="AE281" s="24">
        <f t="shared" si="12"/>
        <v>5124976.24</v>
      </c>
      <c r="AF281" s="24"/>
      <c r="AG281" s="24">
        <v>553655.17000000004</v>
      </c>
      <c r="AH281" s="24"/>
      <c r="AI281" s="24">
        <v>2098608.5099999998</v>
      </c>
      <c r="AJ281" s="24"/>
      <c r="AK281" s="24">
        <v>2652263.6800000002</v>
      </c>
      <c r="AL281" s="24">
        <f>+'Gov Rev'!AI281-'Gov Exp'!AE281+'Gov Exp'!AI281-'Gov Exp'!AK281</f>
        <v>0</v>
      </c>
      <c r="AM281" s="15" t="str">
        <f>'Gov Rev'!A281</f>
        <v>Hebron</v>
      </c>
      <c r="AN281" s="15" t="str">
        <f t="shared" si="13"/>
        <v>Hebron</v>
      </c>
      <c r="AO281" s="15" t="b">
        <f t="shared" si="14"/>
        <v>1</v>
      </c>
    </row>
    <row r="282" spans="1:41" s="31" customFormat="1" ht="12" customHeight="1" x14ac:dyDescent="0.2">
      <c r="A282" s="1" t="s">
        <v>214</v>
      </c>
      <c r="B282" s="1"/>
      <c r="C282" s="1" t="s">
        <v>800</v>
      </c>
      <c r="D282" s="15"/>
      <c r="E282" s="24">
        <v>3455.83</v>
      </c>
      <c r="F282" s="24"/>
      <c r="G282" s="24">
        <v>757.99</v>
      </c>
      <c r="H282" s="24"/>
      <c r="I282" s="24">
        <v>2560.88</v>
      </c>
      <c r="J282" s="24"/>
      <c r="K282" s="24">
        <v>2</v>
      </c>
      <c r="L282" s="24"/>
      <c r="M282" s="24">
        <v>13522.8</v>
      </c>
      <c r="N282" s="24"/>
      <c r="O282" s="24">
        <v>9849.5499999999993</v>
      </c>
      <c r="P282" s="24"/>
      <c r="Q282" s="24">
        <v>26581.91</v>
      </c>
      <c r="R282" s="24"/>
      <c r="S282" s="24">
        <v>0</v>
      </c>
      <c r="T282" s="24"/>
      <c r="U282" s="24">
        <v>0</v>
      </c>
      <c r="V282" s="24"/>
      <c r="W282" s="24">
        <v>0</v>
      </c>
      <c r="X282" s="24"/>
      <c r="Y282" s="24">
        <v>0</v>
      </c>
      <c r="Z282" s="24"/>
      <c r="AA282" s="24">
        <v>0</v>
      </c>
      <c r="AB282" s="24"/>
      <c r="AC282" s="24">
        <v>0</v>
      </c>
      <c r="AD282" s="24"/>
      <c r="AE282" s="24">
        <f t="shared" si="12"/>
        <v>56730.96</v>
      </c>
      <c r="AF282" s="24"/>
      <c r="AG282" s="24">
        <v>10809.09</v>
      </c>
      <c r="AH282" s="24"/>
      <c r="AI282" s="24">
        <v>406974.97</v>
      </c>
      <c r="AJ282" s="24"/>
      <c r="AK282" s="24">
        <v>417784.06</v>
      </c>
      <c r="AL282" s="24">
        <f>+'Gov Rev'!AI282-'Gov Exp'!AE282+'Gov Exp'!AI282-'Gov Exp'!AK282</f>
        <v>0</v>
      </c>
      <c r="AM282" s="15" t="str">
        <f>'Gov Rev'!A282</f>
        <v>Helena</v>
      </c>
      <c r="AN282" s="15" t="str">
        <f t="shared" si="13"/>
        <v>Helena</v>
      </c>
      <c r="AO282" s="15" t="b">
        <f t="shared" si="14"/>
        <v>1</v>
      </c>
    </row>
    <row r="283" spans="1:41" s="31" customFormat="1" ht="12" hidden="1" customHeight="1" x14ac:dyDescent="0.2">
      <c r="A283" s="1" t="s">
        <v>888</v>
      </c>
      <c r="B283" s="1"/>
      <c r="C283" s="1" t="s">
        <v>500</v>
      </c>
      <c r="D283" s="15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>
        <f t="shared" si="12"/>
        <v>0</v>
      </c>
      <c r="AF283" s="24"/>
      <c r="AG283" s="24"/>
      <c r="AH283" s="24"/>
      <c r="AI283" s="24"/>
      <c r="AJ283" s="24"/>
      <c r="AK283" s="24"/>
      <c r="AL283" s="24">
        <f>+'Gov Rev'!AI283-'Gov Exp'!AE283+'Gov Exp'!AI283-'Gov Exp'!AK283</f>
        <v>0</v>
      </c>
      <c r="AM283" s="15" t="str">
        <f>'Gov Rev'!A283</f>
        <v>Hemlock</v>
      </c>
      <c r="AN283" s="15" t="str">
        <f t="shared" si="13"/>
        <v>Hemlock</v>
      </c>
      <c r="AO283" s="15" t="b">
        <f t="shared" si="14"/>
        <v>1</v>
      </c>
    </row>
    <row r="284" spans="1:41" s="31" customFormat="1" ht="12" customHeight="1" x14ac:dyDescent="0.2">
      <c r="A284" s="15" t="s">
        <v>341</v>
      </c>
      <c r="B284" s="15"/>
      <c r="C284" s="15" t="s">
        <v>342</v>
      </c>
      <c r="D284" s="15"/>
      <c r="E284" s="24">
        <v>670604</v>
      </c>
      <c r="F284" s="24"/>
      <c r="G284" s="24">
        <v>25000</v>
      </c>
      <c r="H284" s="24"/>
      <c r="I284" s="24">
        <v>77251</v>
      </c>
      <c r="J284" s="24"/>
      <c r="K284" s="24">
        <f>11192+17052</f>
        <v>28244</v>
      </c>
      <c r="L284" s="24"/>
      <c r="M284" s="24">
        <v>17034</v>
      </c>
      <c r="N284" s="24"/>
      <c r="O284" s="24">
        <v>152265</v>
      </c>
      <c r="P284" s="24"/>
      <c r="Q284" s="24">
        <v>442841</v>
      </c>
      <c r="R284" s="24"/>
      <c r="S284" s="24">
        <v>662046</v>
      </c>
      <c r="T284" s="24"/>
      <c r="U284" s="24">
        <v>12500</v>
      </c>
      <c r="V284" s="24"/>
      <c r="W284" s="24">
        <v>0</v>
      </c>
      <c r="X284" s="24"/>
      <c r="Y284" s="24">
        <v>440000</v>
      </c>
      <c r="Z284" s="24"/>
      <c r="AA284" s="24">
        <v>0</v>
      </c>
      <c r="AB284" s="24"/>
      <c r="AC284" s="24">
        <f>17146+923+10654+1975+673164-1</f>
        <v>703861</v>
      </c>
      <c r="AD284" s="24"/>
      <c r="AE284" s="24">
        <f t="shared" si="12"/>
        <v>3231646</v>
      </c>
      <c r="AF284" s="24"/>
      <c r="AG284" s="24">
        <v>-647354</v>
      </c>
      <c r="AH284" s="24"/>
      <c r="AI284" s="24">
        <v>3833046</v>
      </c>
      <c r="AJ284" s="24"/>
      <c r="AK284" s="24">
        <v>3185692</v>
      </c>
      <c r="AL284" s="24">
        <f>+'Gov Rev'!AI284-'Gov Exp'!AE284+'Gov Exp'!AI284-'Gov Exp'!AK284</f>
        <v>0</v>
      </c>
      <c r="AM284" s="15" t="str">
        <f>'Gov Rev'!A284</f>
        <v>Hicksville</v>
      </c>
      <c r="AN284" s="15" t="str">
        <f t="shared" si="13"/>
        <v>Hicksville</v>
      </c>
      <c r="AO284" s="15" t="b">
        <f t="shared" si="14"/>
        <v>1</v>
      </c>
    </row>
    <row r="285" spans="1:41" s="31" customFormat="1" ht="12" customHeight="1" x14ac:dyDescent="0.2">
      <c r="A285" s="15" t="s">
        <v>960</v>
      </c>
      <c r="B285" s="15"/>
      <c r="C285" s="15" t="s">
        <v>742</v>
      </c>
      <c r="D285" s="15"/>
      <c r="E285" s="24">
        <v>10580</v>
      </c>
      <c r="F285" s="24"/>
      <c r="G285" s="24">
        <v>0</v>
      </c>
      <c r="H285" s="24"/>
      <c r="I285" s="24">
        <v>0</v>
      </c>
      <c r="J285" s="24"/>
      <c r="K285" s="24">
        <v>0</v>
      </c>
      <c r="L285" s="24"/>
      <c r="M285" s="24">
        <v>9981</v>
      </c>
      <c r="N285" s="24"/>
      <c r="O285" s="24">
        <v>2188</v>
      </c>
      <c r="P285" s="24"/>
      <c r="Q285" s="24">
        <f>32260+1</f>
        <v>32261</v>
      </c>
      <c r="R285" s="24"/>
      <c r="S285" s="24">
        <v>0</v>
      </c>
      <c r="T285" s="24"/>
      <c r="U285" s="24">
        <v>0</v>
      </c>
      <c r="V285" s="24"/>
      <c r="W285" s="24">
        <v>0</v>
      </c>
      <c r="X285" s="24"/>
      <c r="Y285" s="24">
        <v>0</v>
      </c>
      <c r="Z285" s="24"/>
      <c r="AA285" s="24">
        <v>0</v>
      </c>
      <c r="AB285" s="24"/>
      <c r="AC285" s="24">
        <v>0</v>
      </c>
      <c r="AD285" s="24"/>
      <c r="AE285" s="24">
        <f t="shared" si="12"/>
        <v>55010</v>
      </c>
      <c r="AF285" s="24"/>
      <c r="AG285" s="24">
        <v>35791</v>
      </c>
      <c r="AH285" s="24"/>
      <c r="AI285" s="24">
        <v>34351</v>
      </c>
      <c r="AJ285" s="24"/>
      <c r="AK285" s="24">
        <v>70142</v>
      </c>
      <c r="AL285" s="24">
        <f>+'Gov Rev'!AI285-'Gov Exp'!AE285+'Gov Exp'!AI285-'Gov Exp'!AK285</f>
        <v>0</v>
      </c>
      <c r="AM285" s="15" t="str">
        <f>'Gov Rev'!A285</f>
        <v>Higginsport</v>
      </c>
      <c r="AN285" s="15" t="str">
        <f t="shared" si="13"/>
        <v>Higginsport</v>
      </c>
      <c r="AO285" s="15" t="b">
        <f t="shared" si="14"/>
        <v>1</v>
      </c>
    </row>
    <row r="286" spans="1:41" s="31" customFormat="1" ht="12" hidden="1" customHeight="1" x14ac:dyDescent="0.2">
      <c r="A286" s="1" t="s">
        <v>409</v>
      </c>
      <c r="B286" s="1"/>
      <c r="C286" s="1" t="s">
        <v>409</v>
      </c>
      <c r="D286" s="15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>
        <f t="shared" si="12"/>
        <v>0</v>
      </c>
      <c r="AF286" s="24"/>
      <c r="AG286" s="24"/>
      <c r="AH286" s="24"/>
      <c r="AI286" s="24"/>
      <c r="AJ286" s="24"/>
      <c r="AK286" s="24"/>
      <c r="AL286" s="24">
        <f>+'Gov Rev'!AI286-'Gov Exp'!AE286+'Gov Exp'!AI286-'Gov Exp'!AK286</f>
        <v>0</v>
      </c>
      <c r="AM286" s="15" t="str">
        <f>'Gov Rev'!A286</f>
        <v>Highland</v>
      </c>
      <c r="AN286" s="15" t="str">
        <f t="shared" si="13"/>
        <v>Highland</v>
      </c>
      <c r="AO286" s="15" t="b">
        <f t="shared" si="14"/>
        <v>1</v>
      </c>
    </row>
    <row r="287" spans="1:41" s="31" customFormat="1" ht="12" customHeight="1" x14ac:dyDescent="0.2">
      <c r="A287" s="15" t="s">
        <v>947</v>
      </c>
      <c r="B287" s="15"/>
      <c r="C287" s="15" t="s">
        <v>316</v>
      </c>
      <c r="D287" s="15"/>
      <c r="E287" s="24">
        <v>1390824</v>
      </c>
      <c r="F287" s="24"/>
      <c r="G287" s="24">
        <v>0</v>
      </c>
      <c r="H287" s="24"/>
      <c r="I287" s="24">
        <v>0</v>
      </c>
      <c r="J287" s="24"/>
      <c r="K287" s="24">
        <v>288836</v>
      </c>
      <c r="L287" s="24"/>
      <c r="M287" s="24">
        <v>99965</v>
      </c>
      <c r="N287" s="24"/>
      <c r="O287" s="24">
        <v>300536</v>
      </c>
      <c r="P287" s="24"/>
      <c r="Q287" s="24">
        <f>1937884-1</f>
        <v>1937883</v>
      </c>
      <c r="R287" s="24"/>
      <c r="S287" s="24">
        <v>0</v>
      </c>
      <c r="T287" s="24"/>
      <c r="U287" s="24">
        <v>136274</v>
      </c>
      <c r="V287" s="24"/>
      <c r="W287" s="24">
        <v>103080</v>
      </c>
      <c r="X287" s="24"/>
      <c r="Y287" s="24">
        <v>0</v>
      </c>
      <c r="Z287" s="24"/>
      <c r="AA287" s="24">
        <v>0</v>
      </c>
      <c r="AB287" s="24"/>
      <c r="AC287" s="24">
        <v>0</v>
      </c>
      <c r="AD287" s="24"/>
      <c r="AE287" s="24">
        <f t="shared" si="12"/>
        <v>4257398</v>
      </c>
      <c r="AF287" s="24"/>
      <c r="AG287" s="24">
        <v>120271</v>
      </c>
      <c r="AH287" s="24"/>
      <c r="AI287" s="24">
        <v>61593</v>
      </c>
      <c r="AJ287" s="24"/>
      <c r="AK287" s="24">
        <v>181864</v>
      </c>
      <c r="AL287" s="24">
        <f>+'Gov Rev'!AI287-'Gov Exp'!AE287+'Gov Exp'!AI287-'Gov Exp'!AK287</f>
        <v>0</v>
      </c>
      <c r="AM287" s="15" t="str">
        <f>'Gov Rev'!A287</f>
        <v>Highland Hills</v>
      </c>
      <c r="AN287" s="15" t="str">
        <f t="shared" si="13"/>
        <v>Highland Hills</v>
      </c>
      <c r="AO287" s="15" t="b">
        <f t="shared" si="14"/>
        <v>1</v>
      </c>
    </row>
    <row r="288" spans="1:41" s="31" customFormat="1" ht="12" customHeight="1" x14ac:dyDescent="0.2">
      <c r="A288" s="1" t="s">
        <v>225</v>
      </c>
      <c r="B288" s="1"/>
      <c r="C288" s="1" t="s">
        <v>804</v>
      </c>
      <c r="D288" s="15"/>
      <c r="E288" s="24">
        <v>240128.37</v>
      </c>
      <c r="F288" s="24"/>
      <c r="G288" s="24">
        <v>2182</v>
      </c>
      <c r="H288" s="24"/>
      <c r="I288" s="24">
        <v>63285</v>
      </c>
      <c r="J288" s="24"/>
      <c r="K288" s="24">
        <v>1571.2</v>
      </c>
      <c r="L288" s="24"/>
      <c r="M288" s="24">
        <v>6989.77</v>
      </c>
      <c r="N288" s="24"/>
      <c r="O288" s="24">
        <v>11235.46</v>
      </c>
      <c r="P288" s="24"/>
      <c r="Q288" s="24">
        <v>57612.51</v>
      </c>
      <c r="R288" s="24"/>
      <c r="S288" s="24">
        <v>134739.99</v>
      </c>
      <c r="T288" s="24"/>
      <c r="U288" s="24">
        <v>0</v>
      </c>
      <c r="V288" s="24"/>
      <c r="W288" s="24">
        <v>0</v>
      </c>
      <c r="X288" s="24"/>
      <c r="Y288" s="24">
        <v>0</v>
      </c>
      <c r="Z288" s="24"/>
      <c r="AA288" s="24">
        <v>0</v>
      </c>
      <c r="AB288" s="24"/>
      <c r="AC288" s="24">
        <v>0</v>
      </c>
      <c r="AD288" s="24"/>
      <c r="AE288" s="24">
        <f t="shared" si="12"/>
        <v>517744.30000000005</v>
      </c>
      <c r="AF288" s="24"/>
      <c r="AG288" s="24">
        <v>-163450.57</v>
      </c>
      <c r="AH288" s="24"/>
      <c r="AI288" s="24">
        <v>1990594.65</v>
      </c>
      <c r="AJ288" s="24"/>
      <c r="AK288" s="24">
        <v>1827144.08</v>
      </c>
      <c r="AL288" s="24">
        <f>+'Gov Rev'!AI288-'Gov Exp'!AE288+'Gov Exp'!AI288-'Gov Exp'!AK288</f>
        <v>0</v>
      </c>
      <c r="AM288" s="15" t="str">
        <f>'Gov Rev'!A288</f>
        <v>Hills And Dales</v>
      </c>
      <c r="AN288" s="15" t="str">
        <f t="shared" si="13"/>
        <v>Hills And Dales</v>
      </c>
      <c r="AO288" s="15" t="b">
        <f t="shared" si="14"/>
        <v>1</v>
      </c>
    </row>
    <row r="289" spans="1:41" s="31" customFormat="1" ht="12" customHeight="1" x14ac:dyDescent="0.2">
      <c r="A289" s="1" t="s">
        <v>194</v>
      </c>
      <c r="B289" s="1"/>
      <c r="C289" s="1" t="s">
        <v>795</v>
      </c>
      <c r="D289" s="15"/>
      <c r="E289" s="24">
        <v>396078.53</v>
      </c>
      <c r="F289" s="24"/>
      <c r="G289" s="24">
        <v>187949.02</v>
      </c>
      <c r="H289" s="24"/>
      <c r="I289" s="24">
        <v>275</v>
      </c>
      <c r="J289" s="24"/>
      <c r="K289" s="24">
        <v>8903.2900000000009</v>
      </c>
      <c r="L289" s="24"/>
      <c r="M289" s="24">
        <v>1217.9000000000001</v>
      </c>
      <c r="N289" s="24"/>
      <c r="O289" s="24">
        <v>106889.99</v>
      </c>
      <c r="P289" s="24"/>
      <c r="Q289" s="24">
        <v>243276.87</v>
      </c>
      <c r="R289" s="24"/>
      <c r="S289" s="24">
        <v>167368.89000000001</v>
      </c>
      <c r="T289" s="24"/>
      <c r="U289" s="24">
        <v>16042.53</v>
      </c>
      <c r="V289" s="24"/>
      <c r="W289" s="24">
        <v>2538.81</v>
      </c>
      <c r="X289" s="24"/>
      <c r="Y289" s="24">
        <v>166288.17000000001</v>
      </c>
      <c r="Z289" s="24"/>
      <c r="AA289" s="24">
        <v>98563.199999999997</v>
      </c>
      <c r="AB289" s="24"/>
      <c r="AC289" s="24">
        <v>0</v>
      </c>
      <c r="AD289" s="24"/>
      <c r="AE289" s="24">
        <f t="shared" si="12"/>
        <v>1395392.2000000002</v>
      </c>
      <c r="AF289" s="24"/>
      <c r="AG289" s="24">
        <v>41386.949999999997</v>
      </c>
      <c r="AH289" s="24"/>
      <c r="AI289" s="24">
        <v>1361076.56</v>
      </c>
      <c r="AJ289" s="24"/>
      <c r="AK289" s="24">
        <v>1402463.51</v>
      </c>
      <c r="AL289" s="24">
        <f>+'Gov Rev'!AI289-'Gov Exp'!AE289+'Gov Exp'!AI289-'Gov Exp'!AK289</f>
        <v>0</v>
      </c>
      <c r="AM289" s="15" t="str">
        <f>'Gov Rev'!A289</f>
        <v>Hiram</v>
      </c>
      <c r="AN289" s="15" t="str">
        <f t="shared" si="13"/>
        <v>Hiram</v>
      </c>
      <c r="AO289" s="15" t="b">
        <f t="shared" si="14"/>
        <v>1</v>
      </c>
    </row>
    <row r="290" spans="1:41" s="31" customFormat="1" ht="12" customHeight="1" x14ac:dyDescent="0.2">
      <c r="A290" s="15" t="s">
        <v>408</v>
      </c>
      <c r="B290" s="15"/>
      <c r="C290" s="15" t="s">
        <v>407</v>
      </c>
      <c r="D290" s="15"/>
      <c r="E290" s="24">
        <v>59999</v>
      </c>
      <c r="F290" s="24"/>
      <c r="G290" s="24">
        <v>0</v>
      </c>
      <c r="H290" s="24"/>
      <c r="I290" s="24">
        <v>35150</v>
      </c>
      <c r="J290" s="24"/>
      <c r="K290" s="24">
        <v>4133</v>
      </c>
      <c r="L290" s="24"/>
      <c r="M290" s="24">
        <v>0</v>
      </c>
      <c r="N290" s="24"/>
      <c r="O290" s="24">
        <v>83964</v>
      </c>
      <c r="P290" s="24"/>
      <c r="Q290" s="24">
        <f>151248+1</f>
        <v>151249</v>
      </c>
      <c r="R290" s="24"/>
      <c r="S290" s="24">
        <v>89869</v>
      </c>
      <c r="T290" s="24"/>
      <c r="U290" s="24">
        <v>3654</v>
      </c>
      <c r="V290" s="24"/>
      <c r="W290" s="24">
        <v>0</v>
      </c>
      <c r="X290" s="24"/>
      <c r="Y290" s="24">
        <v>0</v>
      </c>
      <c r="Z290" s="24"/>
      <c r="AA290" s="24">
        <v>0</v>
      </c>
      <c r="AB290" s="24"/>
      <c r="AC290" s="24">
        <v>2355</v>
      </c>
      <c r="AD290" s="24"/>
      <c r="AE290" s="24">
        <f t="shared" si="12"/>
        <v>430373</v>
      </c>
      <c r="AF290" s="24"/>
      <c r="AG290" s="24">
        <v>-2246</v>
      </c>
      <c r="AH290" s="24"/>
      <c r="AI290" s="24">
        <v>871473</v>
      </c>
      <c r="AJ290" s="24"/>
      <c r="AK290" s="24">
        <v>822205</v>
      </c>
      <c r="AL290" s="24">
        <f>+'Gov Rev'!AI290-'Gov Exp'!AE290+'Gov Exp'!AI290-'Gov Exp'!AK290</f>
        <v>0</v>
      </c>
      <c r="AM290" s="15" t="str">
        <f>'Gov Rev'!A290</f>
        <v>Holgate</v>
      </c>
      <c r="AN290" s="15" t="str">
        <f t="shared" si="13"/>
        <v>Holgate</v>
      </c>
      <c r="AO290" s="15" t="b">
        <f t="shared" si="14"/>
        <v>1</v>
      </c>
    </row>
    <row r="291" spans="1:41" s="31" customFormat="1" ht="12" customHeight="1" x14ac:dyDescent="0.2">
      <c r="A291" s="1" t="s">
        <v>267</v>
      </c>
      <c r="B291" s="1"/>
      <c r="C291" s="1" t="s">
        <v>596</v>
      </c>
      <c r="D291" s="15"/>
      <c r="E291" s="24">
        <v>0</v>
      </c>
      <c r="F291" s="24"/>
      <c r="G291" s="24">
        <v>0</v>
      </c>
      <c r="H291" s="24"/>
      <c r="I291" s="24">
        <v>0</v>
      </c>
      <c r="J291" s="24"/>
      <c r="K291" s="24">
        <v>0</v>
      </c>
      <c r="L291" s="24"/>
      <c r="M291" s="24">
        <v>115491.28</v>
      </c>
      <c r="N291" s="24"/>
      <c r="O291" s="24">
        <v>0</v>
      </c>
      <c r="P291" s="24"/>
      <c r="Q291" s="24">
        <v>122584.91</v>
      </c>
      <c r="R291" s="24"/>
      <c r="S291" s="24">
        <v>0</v>
      </c>
      <c r="T291" s="24"/>
      <c r="U291" s="24">
        <v>89331.26</v>
      </c>
      <c r="V291" s="24"/>
      <c r="W291" s="24">
        <v>33654.660000000003</v>
      </c>
      <c r="X291" s="24"/>
      <c r="Y291" s="24">
        <v>45889.94</v>
      </c>
      <c r="Z291" s="24"/>
      <c r="AA291" s="24">
        <v>0</v>
      </c>
      <c r="AB291" s="24"/>
      <c r="AC291" s="24">
        <v>0</v>
      </c>
      <c r="AD291" s="24"/>
      <c r="AE291" s="24">
        <f t="shared" si="12"/>
        <v>406952.05</v>
      </c>
      <c r="AF291" s="24"/>
      <c r="AG291" s="24">
        <v>157449.32</v>
      </c>
      <c r="AH291" s="24"/>
      <c r="AI291" s="24">
        <v>1266217.6000000001</v>
      </c>
      <c r="AJ291" s="24"/>
      <c r="AK291" s="24">
        <v>1423666.92</v>
      </c>
      <c r="AL291" s="24">
        <f>+'Gov Rev'!AI291-'Gov Exp'!AE291+'Gov Exp'!AI291-'Gov Exp'!AK291</f>
        <v>0</v>
      </c>
      <c r="AM291" s="15" t="str">
        <f>'Gov Rev'!A291</f>
        <v>Holiday City</v>
      </c>
      <c r="AN291" s="15" t="str">
        <f t="shared" si="13"/>
        <v>Holiday City</v>
      </c>
      <c r="AO291" s="15" t="b">
        <f t="shared" si="14"/>
        <v>1</v>
      </c>
    </row>
    <row r="292" spans="1:41" s="31" customFormat="1" ht="12" customHeight="1" x14ac:dyDescent="0.2">
      <c r="A292" s="15" t="s">
        <v>454</v>
      </c>
      <c r="B292" s="15"/>
      <c r="C292" s="15" t="s">
        <v>455</v>
      </c>
      <c r="D292" s="15"/>
      <c r="E292" s="24">
        <v>1008055</v>
      </c>
      <c r="F292" s="24"/>
      <c r="G292" s="24">
        <v>11104</v>
      </c>
      <c r="H292" s="24"/>
      <c r="I292" s="24">
        <v>88106</v>
      </c>
      <c r="J292" s="24"/>
      <c r="K292" s="24">
        <v>72651</v>
      </c>
      <c r="L292" s="24"/>
      <c r="M292" s="24">
        <v>64179</v>
      </c>
      <c r="N292" s="24"/>
      <c r="O292" s="24">
        <v>492714</v>
      </c>
      <c r="P292" s="24"/>
      <c r="Q292" s="24">
        <f>621660+2</f>
        <v>621662</v>
      </c>
      <c r="R292" s="24"/>
      <c r="S292" s="24">
        <v>837893</v>
      </c>
      <c r="T292" s="24"/>
      <c r="U292" s="24">
        <v>30215</v>
      </c>
      <c r="V292" s="24"/>
      <c r="W292" s="24">
        <v>0</v>
      </c>
      <c r="X292" s="24"/>
      <c r="Y292" s="24">
        <v>997806</v>
      </c>
      <c r="Z292" s="24"/>
      <c r="AA292" s="24">
        <v>0</v>
      </c>
      <c r="AB292" s="24"/>
      <c r="AC292" s="24">
        <v>0</v>
      </c>
      <c r="AD292" s="24"/>
      <c r="AE292" s="24">
        <f t="shared" si="12"/>
        <v>4224385</v>
      </c>
      <c r="AF292" s="24"/>
      <c r="AG292" s="24">
        <v>1033844</v>
      </c>
      <c r="AH292" s="24"/>
      <c r="AI292" s="24">
        <v>10559918</v>
      </c>
      <c r="AJ292" s="24"/>
      <c r="AK292" s="24">
        <v>11593762</v>
      </c>
      <c r="AL292" s="24">
        <f>+'Gov Rev'!AI292-'Gov Exp'!AE292+'Gov Exp'!AI292-'Gov Exp'!AK292</f>
        <v>0</v>
      </c>
      <c r="AM292" s="15" t="str">
        <f>'Gov Rev'!A292</f>
        <v>Holland</v>
      </c>
      <c r="AN292" s="15" t="str">
        <f t="shared" si="13"/>
        <v>Holland</v>
      </c>
      <c r="AO292" s="15" t="b">
        <f t="shared" si="14"/>
        <v>1</v>
      </c>
    </row>
    <row r="293" spans="1:41" ht="12" customHeight="1" x14ac:dyDescent="0.2">
      <c r="A293" s="1"/>
      <c r="B293" s="1"/>
      <c r="C293" s="1"/>
      <c r="AE293" s="24"/>
      <c r="AF293" s="24"/>
      <c r="AG293" s="24"/>
      <c r="AH293" s="24"/>
      <c r="AI293" s="24"/>
      <c r="AJ293" s="24"/>
      <c r="AK293" s="24"/>
      <c r="AL293" s="24"/>
    </row>
    <row r="294" spans="1:41" ht="12" customHeight="1" x14ac:dyDescent="0.2">
      <c r="A294" s="1"/>
      <c r="B294" s="1"/>
      <c r="C294" s="1"/>
      <c r="AE294" s="77" t="s">
        <v>850</v>
      </c>
      <c r="AF294" s="24"/>
      <c r="AG294" s="24"/>
      <c r="AH294" s="24"/>
      <c r="AI294" s="24"/>
      <c r="AJ294" s="24"/>
      <c r="AK294" s="24"/>
      <c r="AL294" s="24"/>
    </row>
    <row r="295" spans="1:41" ht="12" customHeight="1" x14ac:dyDescent="0.2">
      <c r="A295" s="1"/>
      <c r="B295" s="1"/>
      <c r="C295" s="1"/>
      <c r="AE295" s="24"/>
      <c r="AF295" s="24"/>
      <c r="AG295" s="24"/>
      <c r="AH295" s="24"/>
      <c r="AI295" s="24"/>
      <c r="AJ295" s="24"/>
      <c r="AK295" s="24"/>
      <c r="AL295" s="24"/>
    </row>
    <row r="296" spans="1:41" s="31" customFormat="1" ht="12" customHeight="1" x14ac:dyDescent="0.2">
      <c r="A296" s="15" t="s">
        <v>332</v>
      </c>
      <c r="B296" s="15"/>
      <c r="C296" s="15" t="s">
        <v>329</v>
      </c>
      <c r="D296" s="15"/>
      <c r="E296" s="91">
        <f>19441+7896</f>
        <v>27337</v>
      </c>
      <c r="F296" s="91"/>
      <c r="G296" s="91">
        <v>609</v>
      </c>
      <c r="H296" s="91"/>
      <c r="I296" s="91">
        <v>1358</v>
      </c>
      <c r="J296" s="91"/>
      <c r="K296" s="91">
        <v>1890</v>
      </c>
      <c r="L296" s="91"/>
      <c r="M296" s="91">
        <v>9488</v>
      </c>
      <c r="N296" s="91"/>
      <c r="O296" s="91">
        <v>12703</v>
      </c>
      <c r="P296" s="91"/>
      <c r="Q296" s="91">
        <v>20894</v>
      </c>
      <c r="R296" s="91"/>
      <c r="S296" s="91">
        <v>0</v>
      </c>
      <c r="T296" s="91"/>
      <c r="U296" s="91">
        <v>0</v>
      </c>
      <c r="V296" s="91"/>
      <c r="W296" s="91">
        <v>0</v>
      </c>
      <c r="X296" s="91"/>
      <c r="Y296" s="91">
        <v>0</v>
      </c>
      <c r="Z296" s="91"/>
      <c r="AA296" s="91">
        <v>0</v>
      </c>
      <c r="AB296" s="91"/>
      <c r="AC296" s="91">
        <v>0</v>
      </c>
      <c r="AD296" s="91"/>
      <c r="AE296" s="91">
        <f t="shared" si="12"/>
        <v>74279</v>
      </c>
      <c r="AF296" s="24"/>
      <c r="AG296" s="24">
        <f>1638-26</f>
        <v>1612</v>
      </c>
      <c r="AH296" s="24"/>
      <c r="AI296" s="24">
        <f>-5671+6511</f>
        <v>840</v>
      </c>
      <c r="AJ296" s="24"/>
      <c r="AK296" s="24">
        <f>-4033+6485</f>
        <v>2452</v>
      </c>
      <c r="AL296" s="24">
        <f>+'Gov Rev'!AI293-'Gov Exp'!AE296+'Gov Exp'!AI296-'Gov Exp'!AK296</f>
        <v>0</v>
      </c>
      <c r="AM296" s="15" t="str">
        <f>'Gov Rev'!A293</f>
        <v>Hollansburg</v>
      </c>
      <c r="AN296" s="15" t="str">
        <f t="shared" si="13"/>
        <v>Hollansburg</v>
      </c>
      <c r="AO296" s="15" t="b">
        <f t="shared" si="14"/>
        <v>1</v>
      </c>
    </row>
    <row r="297" spans="1:41" s="31" customFormat="1" ht="12" customHeight="1" x14ac:dyDescent="0.2">
      <c r="A297" s="1" t="s">
        <v>17</v>
      </c>
      <c r="B297" s="1"/>
      <c r="C297" s="1" t="s">
        <v>741</v>
      </c>
      <c r="D297" s="15"/>
      <c r="E297" s="24">
        <v>18877.46</v>
      </c>
      <c r="F297" s="24"/>
      <c r="G297" s="24">
        <v>0</v>
      </c>
      <c r="H297" s="24"/>
      <c r="I297" s="24">
        <v>0</v>
      </c>
      <c r="J297" s="24"/>
      <c r="K297" s="24">
        <v>0</v>
      </c>
      <c r="L297" s="24"/>
      <c r="M297" s="24">
        <v>3853.17</v>
      </c>
      <c r="N297" s="24"/>
      <c r="O297" s="24">
        <v>36911.33</v>
      </c>
      <c r="P297" s="24"/>
      <c r="Q297" s="24">
        <v>32861.71</v>
      </c>
      <c r="R297" s="24"/>
      <c r="S297" s="24">
        <v>2350</v>
      </c>
      <c r="T297" s="24"/>
      <c r="U297" s="24">
        <v>0</v>
      </c>
      <c r="V297" s="24"/>
      <c r="W297" s="24">
        <v>0</v>
      </c>
      <c r="X297" s="24"/>
      <c r="Y297" s="24">
        <v>0</v>
      </c>
      <c r="Z297" s="24"/>
      <c r="AA297" s="24">
        <v>5000</v>
      </c>
      <c r="AB297" s="24"/>
      <c r="AC297" s="24">
        <v>5713.69</v>
      </c>
      <c r="AD297" s="24"/>
      <c r="AE297" s="24">
        <f t="shared" si="12"/>
        <v>105567.36</v>
      </c>
      <c r="AF297" s="24"/>
      <c r="AG297" s="24">
        <v>-17130.61</v>
      </c>
      <c r="AH297" s="24"/>
      <c r="AI297" s="24">
        <v>88081</v>
      </c>
      <c r="AJ297" s="24"/>
      <c r="AK297" s="24">
        <v>70950.39</v>
      </c>
      <c r="AL297" s="24">
        <f>+'Gov Rev'!AI294-'Gov Exp'!AE297+'Gov Exp'!AI297-'Gov Exp'!AK297</f>
        <v>0</v>
      </c>
      <c r="AM297" s="15" t="str">
        <f>'Gov Rev'!A294</f>
        <v>Holloway</v>
      </c>
      <c r="AN297" s="15" t="str">
        <f t="shared" si="13"/>
        <v>Holloway</v>
      </c>
      <c r="AO297" s="15" t="b">
        <f t="shared" si="14"/>
        <v>1</v>
      </c>
    </row>
    <row r="298" spans="1:41" s="31" customFormat="1" ht="12" customHeight="1" x14ac:dyDescent="0.2">
      <c r="A298" s="1" t="s">
        <v>413</v>
      </c>
      <c r="B298" s="1"/>
      <c r="C298" s="1" t="s">
        <v>412</v>
      </c>
      <c r="D298" s="15"/>
      <c r="E298" s="24">
        <v>12996.86</v>
      </c>
      <c r="F298" s="24"/>
      <c r="G298" s="24">
        <v>1355.48</v>
      </c>
      <c r="H298" s="24"/>
      <c r="I298" s="24">
        <v>0</v>
      </c>
      <c r="J298" s="24"/>
      <c r="K298" s="24">
        <v>40</v>
      </c>
      <c r="L298" s="24"/>
      <c r="M298" s="24">
        <v>0</v>
      </c>
      <c r="N298" s="24"/>
      <c r="O298" s="24">
        <v>43672.19</v>
      </c>
      <c r="P298" s="24"/>
      <c r="Q298" s="24">
        <v>27250.98</v>
      </c>
      <c r="R298" s="24"/>
      <c r="S298" s="24">
        <v>0</v>
      </c>
      <c r="T298" s="24"/>
      <c r="U298" s="24">
        <v>0</v>
      </c>
      <c r="V298" s="24"/>
      <c r="W298" s="24">
        <v>0</v>
      </c>
      <c r="X298" s="24"/>
      <c r="Y298" s="24">
        <v>12877.86</v>
      </c>
      <c r="Z298" s="24"/>
      <c r="AA298" s="24">
        <v>732</v>
      </c>
      <c r="AB298" s="24"/>
      <c r="AC298" s="24">
        <v>0</v>
      </c>
      <c r="AD298" s="24"/>
      <c r="AE298" s="24">
        <f t="shared" si="12"/>
        <v>98925.37</v>
      </c>
      <c r="AF298" s="24"/>
      <c r="AG298" s="24">
        <v>-18481.98</v>
      </c>
      <c r="AH298" s="24"/>
      <c r="AI298" s="24">
        <v>94331.86</v>
      </c>
      <c r="AJ298" s="24"/>
      <c r="AK298" s="24">
        <v>75849.88</v>
      </c>
      <c r="AL298" s="24">
        <f>+'Gov Rev'!AI295-'Gov Exp'!AE298+'Gov Exp'!AI298-'Gov Exp'!AK298</f>
        <v>0</v>
      </c>
      <c r="AM298" s="15" t="str">
        <f>'Gov Rev'!A295</f>
        <v>Holmesville</v>
      </c>
      <c r="AN298" s="15" t="str">
        <f t="shared" si="13"/>
        <v>Holmesville</v>
      </c>
      <c r="AO298" s="15" t="b">
        <f t="shared" si="14"/>
        <v>1</v>
      </c>
    </row>
    <row r="299" spans="1:41" s="31" customFormat="1" ht="12" customHeight="1" x14ac:dyDescent="0.2">
      <c r="A299" s="1" t="s">
        <v>101</v>
      </c>
      <c r="B299" s="1"/>
      <c r="C299" s="1" t="s">
        <v>765</v>
      </c>
      <c r="D299" s="28"/>
      <c r="E299" s="24">
        <v>20868.78</v>
      </c>
      <c r="F299" s="24"/>
      <c r="G299" s="24">
        <v>983.5</v>
      </c>
      <c r="H299" s="24"/>
      <c r="I299" s="24">
        <v>0</v>
      </c>
      <c r="J299" s="24"/>
      <c r="K299" s="24">
        <v>0</v>
      </c>
      <c r="L299" s="24"/>
      <c r="M299" s="24">
        <v>24857.119999999999</v>
      </c>
      <c r="N299" s="24"/>
      <c r="O299" s="24">
        <v>86882.14</v>
      </c>
      <c r="P299" s="24"/>
      <c r="Q299" s="24">
        <v>176716.79999999999</v>
      </c>
      <c r="R299" s="24"/>
      <c r="S299" s="24">
        <v>0</v>
      </c>
      <c r="T299" s="24"/>
      <c r="U299" s="24">
        <v>0</v>
      </c>
      <c r="V299" s="24"/>
      <c r="W299" s="24">
        <v>0</v>
      </c>
      <c r="X299" s="24"/>
      <c r="Y299" s="24">
        <v>0</v>
      </c>
      <c r="Z299" s="24"/>
      <c r="AA299" s="24">
        <v>184.05</v>
      </c>
      <c r="AB299" s="24"/>
      <c r="AC299" s="24">
        <v>14.85</v>
      </c>
      <c r="AD299" s="24"/>
      <c r="AE299" s="24">
        <f t="shared" si="12"/>
        <v>310507.23999999993</v>
      </c>
      <c r="AF299" s="24"/>
      <c r="AG299" s="24">
        <v>136744.26999999999</v>
      </c>
      <c r="AH299" s="24"/>
      <c r="AI299" s="24">
        <v>105758.89</v>
      </c>
      <c r="AJ299" s="24"/>
      <c r="AK299" s="24">
        <v>242503.16</v>
      </c>
      <c r="AL299" s="24">
        <f>+'Gov Rev'!AI296-'Gov Exp'!AE299+'Gov Exp'!AI299-'Gov Exp'!AK299</f>
        <v>0</v>
      </c>
      <c r="AM299" s="15" t="str">
        <f>'Gov Rev'!A296</f>
        <v>Hopedale</v>
      </c>
      <c r="AN299" s="15" t="str">
        <f t="shared" si="13"/>
        <v>Hopedale</v>
      </c>
      <c r="AO299" s="15" t="b">
        <f t="shared" si="14"/>
        <v>1</v>
      </c>
    </row>
    <row r="300" spans="1:41" s="31" customFormat="1" ht="12" customHeight="1" x14ac:dyDescent="0.2">
      <c r="A300" s="1" t="s">
        <v>257</v>
      </c>
      <c r="B300" s="1"/>
      <c r="C300" s="1" t="s">
        <v>813</v>
      </c>
      <c r="D300" s="15"/>
      <c r="E300" s="24">
        <v>2502.0500000000002</v>
      </c>
      <c r="F300" s="24"/>
      <c r="G300" s="24">
        <v>0</v>
      </c>
      <c r="H300" s="24"/>
      <c r="I300" s="24">
        <v>3221.37</v>
      </c>
      <c r="J300" s="24"/>
      <c r="K300" s="24">
        <v>29.79</v>
      </c>
      <c r="L300" s="24"/>
      <c r="M300" s="24">
        <v>0</v>
      </c>
      <c r="N300" s="24"/>
      <c r="O300" s="24">
        <v>0</v>
      </c>
      <c r="P300" s="24"/>
      <c r="Q300" s="24">
        <v>37294.89</v>
      </c>
      <c r="R300" s="24"/>
      <c r="S300" s="24">
        <v>22936.79</v>
      </c>
      <c r="T300" s="24"/>
      <c r="U300" s="24">
        <v>0</v>
      </c>
      <c r="V300" s="24"/>
      <c r="W300" s="24">
        <v>0</v>
      </c>
      <c r="X300" s="24"/>
      <c r="Y300" s="24">
        <v>0</v>
      </c>
      <c r="Z300" s="24"/>
      <c r="AA300" s="24">
        <v>0</v>
      </c>
      <c r="AB300" s="24"/>
      <c r="AC300" s="24">
        <v>268.18</v>
      </c>
      <c r="AD300" s="24"/>
      <c r="AE300" s="24">
        <f t="shared" si="12"/>
        <v>66253.069999999992</v>
      </c>
      <c r="AF300" s="24"/>
      <c r="AG300" s="24">
        <v>-16421.810000000001</v>
      </c>
      <c r="AH300" s="24"/>
      <c r="AI300" s="24">
        <v>95946.49</v>
      </c>
      <c r="AJ300" s="24"/>
      <c r="AK300" s="24">
        <v>79524.679999999993</v>
      </c>
      <c r="AL300" s="24">
        <f>+'Gov Rev'!AI297-'Gov Exp'!AE300+'Gov Exp'!AI300-'Gov Exp'!AK300</f>
        <v>0</v>
      </c>
      <c r="AM300" s="15" t="str">
        <f>'Gov Rev'!A297</f>
        <v>Hoytville</v>
      </c>
      <c r="AN300" s="15" t="str">
        <f t="shared" si="13"/>
        <v>Hoytville</v>
      </c>
      <c r="AO300" s="15" t="b">
        <f t="shared" si="14"/>
        <v>1</v>
      </c>
    </row>
    <row r="301" spans="1:41" s="31" customFormat="1" ht="12" customHeight="1" x14ac:dyDescent="0.2">
      <c r="A301" s="15" t="s">
        <v>321</v>
      </c>
      <c r="B301" s="15"/>
      <c r="C301" s="15" t="s">
        <v>316</v>
      </c>
      <c r="D301" s="15"/>
      <c r="E301" s="24">
        <v>1713013</v>
      </c>
      <c r="F301" s="24"/>
      <c r="G301" s="24">
        <v>14</v>
      </c>
      <c r="H301" s="24"/>
      <c r="I301" s="24">
        <v>0</v>
      </c>
      <c r="J301" s="24"/>
      <c r="K301" s="24">
        <v>203965</v>
      </c>
      <c r="L301" s="24"/>
      <c r="M301" s="24">
        <v>123278</v>
      </c>
      <c r="N301" s="24"/>
      <c r="O301" s="24">
        <v>604320</v>
      </c>
      <c r="P301" s="24"/>
      <c r="Q301" s="24">
        <v>1488323</v>
      </c>
      <c r="R301" s="24"/>
      <c r="S301" s="24">
        <v>683369</v>
      </c>
      <c r="T301" s="24"/>
      <c r="U301" s="24">
        <v>5500000</v>
      </c>
      <c r="V301" s="24"/>
      <c r="W301" s="24">
        <v>54847</v>
      </c>
      <c r="X301" s="24"/>
      <c r="Y301" s="24">
        <v>0</v>
      </c>
      <c r="Z301" s="24"/>
      <c r="AA301" s="24">
        <v>0</v>
      </c>
      <c r="AB301" s="24"/>
      <c r="AC301" s="24">
        <v>17008</v>
      </c>
      <c r="AD301" s="24"/>
      <c r="AE301" s="24">
        <f t="shared" si="12"/>
        <v>10388137</v>
      </c>
      <c r="AF301" s="24"/>
      <c r="AG301" s="24">
        <v>67291150</v>
      </c>
      <c r="AH301" s="24"/>
      <c r="AI301" s="24">
        <v>11829399</v>
      </c>
      <c r="AJ301" s="24"/>
      <c r="AK301" s="24">
        <v>79120549</v>
      </c>
      <c r="AL301" s="24">
        <f>+'Gov Rev'!AI298-'Gov Exp'!AE301+'Gov Exp'!AI301-'Gov Exp'!AK301</f>
        <v>0</v>
      </c>
      <c r="AM301" s="15" t="str">
        <f>'Gov Rev'!A298</f>
        <v>Hunting Valley</v>
      </c>
      <c r="AN301" s="15" t="str">
        <f t="shared" si="13"/>
        <v>Hunting Valley</v>
      </c>
      <c r="AO301" s="15" t="b">
        <f t="shared" si="14"/>
        <v>1</v>
      </c>
    </row>
    <row r="302" spans="1:41" s="31" customFormat="1" ht="12" customHeight="1" x14ac:dyDescent="0.2">
      <c r="A302" s="1" t="s">
        <v>133</v>
      </c>
      <c r="B302" s="1"/>
      <c r="C302" s="1" t="s">
        <v>775</v>
      </c>
      <c r="D302" s="15"/>
      <c r="E302" s="24">
        <v>67162.39</v>
      </c>
      <c r="F302" s="24"/>
      <c r="G302" s="24">
        <v>1324.96</v>
      </c>
      <c r="H302" s="24"/>
      <c r="I302" s="24">
        <v>2376.9</v>
      </c>
      <c r="J302" s="24"/>
      <c r="K302" s="24">
        <v>2780.95</v>
      </c>
      <c r="L302" s="24"/>
      <c r="M302" s="24">
        <v>1609.89</v>
      </c>
      <c r="N302" s="24"/>
      <c r="O302" s="24">
        <v>33315.85</v>
      </c>
      <c r="P302" s="24"/>
      <c r="Q302" s="24">
        <v>55559.93</v>
      </c>
      <c r="R302" s="24"/>
      <c r="S302" s="24">
        <v>10204.709999999999</v>
      </c>
      <c r="T302" s="24"/>
      <c r="U302" s="24">
        <v>0</v>
      </c>
      <c r="V302" s="24"/>
      <c r="W302" s="24">
        <v>0</v>
      </c>
      <c r="X302" s="24"/>
      <c r="Y302" s="24">
        <v>0</v>
      </c>
      <c r="Z302" s="24"/>
      <c r="AA302" s="24">
        <v>0</v>
      </c>
      <c r="AB302" s="24"/>
      <c r="AC302" s="24">
        <v>1125.8900000000001</v>
      </c>
      <c r="AD302" s="24"/>
      <c r="AE302" s="24">
        <f t="shared" si="12"/>
        <v>175461.47</v>
      </c>
      <c r="AF302" s="24"/>
      <c r="AG302" s="24">
        <v>-979.37</v>
      </c>
      <c r="AH302" s="24"/>
      <c r="AI302" s="24">
        <v>458008.9</v>
      </c>
      <c r="AJ302" s="24"/>
      <c r="AK302" s="24">
        <v>457029.53</v>
      </c>
      <c r="AL302" s="24">
        <f>+'Gov Rev'!AI299-'Gov Exp'!AE302+'Gov Exp'!AI302-'Gov Exp'!AK302</f>
        <v>0</v>
      </c>
      <c r="AM302" s="15" t="str">
        <f>'Gov Rev'!A299</f>
        <v>Huntsville</v>
      </c>
      <c r="AN302" s="15" t="str">
        <f t="shared" si="13"/>
        <v>Huntsville</v>
      </c>
      <c r="AO302" s="15" t="b">
        <f t="shared" si="14"/>
        <v>1</v>
      </c>
    </row>
    <row r="303" spans="1:41" s="31" customFormat="1" ht="12" customHeight="1" x14ac:dyDescent="0.2">
      <c r="A303" s="1" t="s">
        <v>118</v>
      </c>
      <c r="B303" s="1"/>
      <c r="C303" s="1" t="s">
        <v>770</v>
      </c>
      <c r="D303" s="15"/>
      <c r="E303" s="24">
        <v>86342</v>
      </c>
      <c r="F303" s="24"/>
      <c r="G303" s="24">
        <v>0</v>
      </c>
      <c r="H303" s="24"/>
      <c r="I303" s="24">
        <v>4175</v>
      </c>
      <c r="J303" s="24"/>
      <c r="K303" s="24">
        <v>0</v>
      </c>
      <c r="L303" s="24"/>
      <c r="M303" s="24">
        <v>0</v>
      </c>
      <c r="N303" s="24"/>
      <c r="O303" s="24">
        <v>51949.01</v>
      </c>
      <c r="P303" s="24"/>
      <c r="Q303" s="24">
        <v>32713.8</v>
      </c>
      <c r="R303" s="24"/>
      <c r="S303" s="24">
        <v>133063.4</v>
      </c>
      <c r="T303" s="24"/>
      <c r="U303" s="24">
        <v>40000</v>
      </c>
      <c r="V303" s="24"/>
      <c r="W303" s="24">
        <v>0</v>
      </c>
      <c r="X303" s="24"/>
      <c r="Y303" s="24">
        <v>0</v>
      </c>
      <c r="Z303" s="24"/>
      <c r="AA303" s="24">
        <v>0</v>
      </c>
      <c r="AB303" s="24"/>
      <c r="AC303" s="24">
        <v>15.82</v>
      </c>
      <c r="AD303" s="24"/>
      <c r="AE303" s="24">
        <f t="shared" si="12"/>
        <v>348259.02999999997</v>
      </c>
      <c r="AF303" s="24"/>
      <c r="AG303" s="24">
        <v>-138957.51</v>
      </c>
      <c r="AH303" s="24"/>
      <c r="AI303" s="24">
        <v>302105.15999999997</v>
      </c>
      <c r="AJ303" s="24"/>
      <c r="AK303" s="24">
        <v>163147.65</v>
      </c>
      <c r="AL303" s="24">
        <f>+'Gov Rev'!AI300-'Gov Exp'!AE303+'Gov Exp'!AI303-'Gov Exp'!AK303</f>
        <v>0</v>
      </c>
      <c r="AM303" s="15" t="str">
        <f>'Gov Rev'!A300</f>
        <v>Irondale</v>
      </c>
      <c r="AN303" s="15" t="str">
        <f t="shared" si="13"/>
        <v>Irondale</v>
      </c>
      <c r="AO303" s="15" t="b">
        <f t="shared" si="14"/>
        <v>1</v>
      </c>
    </row>
    <row r="304" spans="1:41" s="31" customFormat="1" ht="12" customHeight="1" x14ac:dyDescent="0.2">
      <c r="A304" s="15" t="s">
        <v>687</v>
      </c>
      <c r="B304" s="15"/>
      <c r="C304" s="15" t="s">
        <v>329</v>
      </c>
      <c r="D304" s="15"/>
      <c r="E304" s="24">
        <v>6985</v>
      </c>
      <c r="F304" s="24"/>
      <c r="G304" s="24">
        <v>0</v>
      </c>
      <c r="H304" s="24"/>
      <c r="I304" s="24">
        <v>0</v>
      </c>
      <c r="J304" s="24"/>
      <c r="K304" s="24">
        <v>0</v>
      </c>
      <c r="L304" s="24"/>
      <c r="M304" s="24">
        <v>3741</v>
      </c>
      <c r="N304" s="24"/>
      <c r="O304" s="24">
        <v>0</v>
      </c>
      <c r="P304" s="24"/>
      <c r="Q304" s="24">
        <v>6977</v>
      </c>
      <c r="R304" s="24"/>
      <c r="S304" s="24">
        <v>0</v>
      </c>
      <c r="T304" s="24"/>
      <c r="U304" s="24">
        <v>0</v>
      </c>
      <c r="V304" s="24"/>
      <c r="W304" s="24">
        <v>0</v>
      </c>
      <c r="X304" s="24"/>
      <c r="Y304" s="24">
        <v>0</v>
      </c>
      <c r="Z304" s="24"/>
      <c r="AA304" s="24">
        <v>0</v>
      </c>
      <c r="AB304" s="24"/>
      <c r="AC304" s="24">
        <v>0</v>
      </c>
      <c r="AD304" s="24"/>
      <c r="AE304" s="24">
        <f t="shared" si="12"/>
        <v>17703</v>
      </c>
      <c r="AF304" s="24"/>
      <c r="AG304" s="24">
        <v>2830</v>
      </c>
      <c r="AH304" s="24"/>
      <c r="AI304" s="24">
        <f>AK304-2830</f>
        <v>47621</v>
      </c>
      <c r="AJ304" s="24"/>
      <c r="AK304" s="24">
        <v>50451</v>
      </c>
      <c r="AL304" s="24">
        <f>+'Gov Rev'!AI301-'Gov Exp'!AE304+'Gov Exp'!AI304-'Gov Exp'!AK304</f>
        <v>0</v>
      </c>
      <c r="AM304" s="15" t="str">
        <f>'Gov Rev'!A301</f>
        <v>Ithaca</v>
      </c>
      <c r="AN304" s="15" t="str">
        <f t="shared" si="13"/>
        <v>Ithaca</v>
      </c>
      <c r="AO304" s="15" t="b">
        <f t="shared" si="14"/>
        <v>1</v>
      </c>
    </row>
    <row r="305" spans="1:41" s="31" customFormat="1" ht="12" customHeight="1" x14ac:dyDescent="0.2">
      <c r="A305" s="1" t="s">
        <v>223</v>
      </c>
      <c r="B305" s="1"/>
      <c r="C305" s="1" t="s">
        <v>803</v>
      </c>
      <c r="D305" s="15"/>
      <c r="E305" s="24">
        <v>165983.82</v>
      </c>
      <c r="F305" s="24"/>
      <c r="G305" s="24">
        <v>2889</v>
      </c>
      <c r="H305" s="24"/>
      <c r="I305" s="24">
        <v>2895.45</v>
      </c>
      <c r="J305" s="24"/>
      <c r="K305" s="24">
        <v>14152.63</v>
      </c>
      <c r="L305" s="24"/>
      <c r="M305" s="24">
        <v>0</v>
      </c>
      <c r="N305" s="24"/>
      <c r="O305" s="24">
        <v>99205.88</v>
      </c>
      <c r="P305" s="24"/>
      <c r="Q305" s="24">
        <v>93140.57</v>
      </c>
      <c r="R305" s="24"/>
      <c r="S305" s="24">
        <v>688681</v>
      </c>
      <c r="T305" s="24"/>
      <c r="U305" s="24">
        <v>59532.22</v>
      </c>
      <c r="V305" s="24"/>
      <c r="W305" s="24">
        <v>26736.16</v>
      </c>
      <c r="X305" s="24"/>
      <c r="Y305" s="24">
        <v>669638.51</v>
      </c>
      <c r="Z305" s="24"/>
      <c r="AA305" s="24">
        <v>0</v>
      </c>
      <c r="AB305" s="24"/>
      <c r="AC305" s="24">
        <v>4903.25</v>
      </c>
      <c r="AD305" s="24"/>
      <c r="AE305" s="24">
        <f t="shared" si="12"/>
        <v>1827758.49</v>
      </c>
      <c r="AF305" s="24"/>
      <c r="AG305" s="24">
        <v>115547.88</v>
      </c>
      <c r="AH305" s="24"/>
      <c r="AI305" s="24">
        <v>1250785.1599999999</v>
      </c>
      <c r="AJ305" s="24"/>
      <c r="AK305" s="24">
        <v>1366333.04</v>
      </c>
      <c r="AL305" s="24">
        <f>+'Gov Rev'!AI302-'Gov Exp'!AE305+'Gov Exp'!AI305-'Gov Exp'!AK305</f>
        <v>0</v>
      </c>
      <c r="AM305" s="15" t="str">
        <f>'Gov Rev'!A302</f>
        <v>Jackson Center</v>
      </c>
      <c r="AN305" s="15" t="str">
        <f t="shared" si="13"/>
        <v>Jackson Center</v>
      </c>
      <c r="AO305" s="15" t="b">
        <f t="shared" si="14"/>
        <v>1</v>
      </c>
    </row>
    <row r="306" spans="1:41" s="31" customFormat="1" ht="12" customHeight="1" x14ac:dyDescent="0.2">
      <c r="A306" s="15" t="s">
        <v>689</v>
      </c>
      <c r="B306" s="15"/>
      <c r="C306" s="15" t="s">
        <v>688</v>
      </c>
      <c r="D306" s="15"/>
      <c r="E306" s="24">
        <v>332</v>
      </c>
      <c r="F306" s="24"/>
      <c r="G306" s="24">
        <v>0</v>
      </c>
      <c r="H306" s="24"/>
      <c r="I306" s="24">
        <v>0</v>
      </c>
      <c r="J306" s="24"/>
      <c r="K306" s="24">
        <v>0</v>
      </c>
      <c r="L306" s="24"/>
      <c r="M306" s="24">
        <v>9184</v>
      </c>
      <c r="N306" s="24"/>
      <c r="O306" s="24">
        <v>0</v>
      </c>
      <c r="P306" s="24"/>
      <c r="Q306" s="24">
        <f>20285-1</f>
        <v>20284</v>
      </c>
      <c r="R306" s="24"/>
      <c r="S306" s="24">
        <v>0</v>
      </c>
      <c r="T306" s="24"/>
      <c r="U306" s="24">
        <v>0</v>
      </c>
      <c r="V306" s="24"/>
      <c r="W306" s="24">
        <v>0</v>
      </c>
      <c r="X306" s="24"/>
      <c r="Y306" s="24">
        <v>0</v>
      </c>
      <c r="Z306" s="24"/>
      <c r="AA306" s="24">
        <v>0</v>
      </c>
      <c r="AB306" s="24"/>
      <c r="AC306" s="24">
        <v>0</v>
      </c>
      <c r="AD306" s="24"/>
      <c r="AE306" s="24">
        <f t="shared" si="12"/>
        <v>29800</v>
      </c>
      <c r="AF306" s="24"/>
      <c r="AG306" s="24">
        <v>-13128</v>
      </c>
      <c r="AH306" s="24"/>
      <c r="AI306" s="24">
        <f>AK306-AG306</f>
        <v>70138.490000000005</v>
      </c>
      <c r="AJ306" s="24"/>
      <c r="AK306" s="24">
        <f>24435.88+32574.61</f>
        <v>57010.490000000005</v>
      </c>
      <c r="AL306" s="24">
        <f>+'Gov Rev'!AI303-'Gov Exp'!AE306+'Gov Exp'!AI306-'Gov Exp'!AK306</f>
        <v>0</v>
      </c>
      <c r="AM306" s="15" t="str">
        <f>'Gov Rev'!A303</f>
        <v>Jacksonburg</v>
      </c>
      <c r="AN306" s="15" t="str">
        <f t="shared" si="13"/>
        <v>Jacksonburg</v>
      </c>
      <c r="AO306" s="15" t="b">
        <f t="shared" si="14"/>
        <v>1</v>
      </c>
    </row>
    <row r="307" spans="1:41" ht="12" customHeight="1" x14ac:dyDescent="0.2">
      <c r="A307" s="15" t="s">
        <v>958</v>
      </c>
      <c r="C307" s="15" t="s">
        <v>271</v>
      </c>
      <c r="E307" s="24">
        <v>42033</v>
      </c>
      <c r="G307" s="24">
        <v>0</v>
      </c>
      <c r="I307" s="24">
        <v>0</v>
      </c>
      <c r="K307" s="24">
        <v>0</v>
      </c>
      <c r="M307" s="24">
        <v>0</v>
      </c>
      <c r="O307" s="24">
        <v>28984</v>
      </c>
      <c r="Q307" s="24">
        <f>45185-1</f>
        <v>45184</v>
      </c>
      <c r="S307" s="24">
        <v>0</v>
      </c>
      <c r="U307" s="24">
        <v>31572</v>
      </c>
      <c r="W307" s="24">
        <v>0</v>
      </c>
      <c r="Y307" s="24">
        <v>0</v>
      </c>
      <c r="AA307" s="24">
        <v>0</v>
      </c>
      <c r="AC307" s="24">
        <v>0</v>
      </c>
      <c r="AE307" s="24">
        <f t="shared" si="12"/>
        <v>147773</v>
      </c>
      <c r="AF307" s="24"/>
      <c r="AG307" s="24">
        <v>3564</v>
      </c>
      <c r="AH307" s="24"/>
      <c r="AI307" s="24">
        <f>AK307-AG307</f>
        <v>-62752</v>
      </c>
      <c r="AJ307" s="24"/>
      <c r="AK307" s="24">
        <v>-59188</v>
      </c>
      <c r="AL307" s="24">
        <f>+'Gov Rev'!AI304-'Gov Exp'!AE307+'Gov Exp'!AI307-'Gov Exp'!AK307</f>
        <v>0</v>
      </c>
      <c r="AM307" s="15" t="str">
        <f>'Gov Rev'!A304</f>
        <v>Jacksonville</v>
      </c>
      <c r="AN307" s="15" t="str">
        <f t="shared" si="13"/>
        <v>Jacksonville</v>
      </c>
      <c r="AO307" s="15" t="b">
        <f t="shared" si="14"/>
        <v>1</v>
      </c>
    </row>
    <row r="308" spans="1:41" ht="12" customHeight="1" x14ac:dyDescent="0.2">
      <c r="A308" s="1" t="s">
        <v>84</v>
      </c>
      <c r="B308" s="1"/>
      <c r="C308" s="1" t="s">
        <v>761</v>
      </c>
      <c r="E308" s="24">
        <v>334369.83</v>
      </c>
      <c r="G308" s="24">
        <v>3934.98</v>
      </c>
      <c r="I308" s="24">
        <v>629.79</v>
      </c>
      <c r="K308" s="24">
        <v>3156</v>
      </c>
      <c r="M308" s="24">
        <v>146106.70000000001</v>
      </c>
      <c r="O308" s="24">
        <v>85121.17</v>
      </c>
      <c r="Q308" s="24">
        <v>161077.1</v>
      </c>
      <c r="S308" s="24">
        <v>18592.97</v>
      </c>
      <c r="U308" s="24">
        <v>0</v>
      </c>
      <c r="W308" s="24">
        <v>0</v>
      </c>
      <c r="Y308" s="24">
        <v>67000</v>
      </c>
      <c r="AA308" s="24">
        <v>0</v>
      </c>
      <c r="AC308" s="24">
        <v>0</v>
      </c>
      <c r="AE308" s="24">
        <f t="shared" si="12"/>
        <v>819988.53999999992</v>
      </c>
      <c r="AF308" s="24"/>
      <c r="AG308" s="24">
        <v>135286.98000000001</v>
      </c>
      <c r="AH308" s="24"/>
      <c r="AI308" s="24">
        <v>495013.31</v>
      </c>
      <c r="AJ308" s="24"/>
      <c r="AK308" s="24">
        <v>630300.29</v>
      </c>
      <c r="AL308" s="24">
        <f>+'Gov Rev'!AI305-'Gov Exp'!AE308+'Gov Exp'!AI308-'Gov Exp'!AK308</f>
        <v>0</v>
      </c>
      <c r="AM308" s="15" t="str">
        <f>'Gov Rev'!A305</f>
        <v>Jamestown</v>
      </c>
      <c r="AN308" s="15" t="str">
        <f t="shared" si="13"/>
        <v>Jamestown</v>
      </c>
      <c r="AO308" s="15" t="b">
        <f t="shared" si="14"/>
        <v>1</v>
      </c>
    </row>
    <row r="309" spans="1:41" ht="12" customHeight="1" x14ac:dyDescent="0.2">
      <c r="A309" s="24" t="s">
        <v>690</v>
      </c>
      <c r="B309" s="24"/>
      <c r="C309" s="24" t="s">
        <v>671</v>
      </c>
      <c r="D309" s="24"/>
      <c r="E309" s="24">
        <v>721204</v>
      </c>
      <c r="G309" s="24">
        <v>0</v>
      </c>
      <c r="I309" s="24">
        <v>282668</v>
      </c>
      <c r="K309" s="24">
        <v>500</v>
      </c>
      <c r="M309" s="24">
        <v>74230</v>
      </c>
      <c r="O309" s="24">
        <v>1032546</v>
      </c>
      <c r="Q309" s="24">
        <v>580220</v>
      </c>
      <c r="S309" s="24">
        <v>0</v>
      </c>
      <c r="U309" s="24">
        <v>3500</v>
      </c>
      <c r="W309" s="24">
        <v>0</v>
      </c>
      <c r="Y309" s="24">
        <v>0</v>
      </c>
      <c r="AA309" s="24">
        <v>0</v>
      </c>
      <c r="AC309" s="24">
        <v>68324</v>
      </c>
      <c r="AE309" s="24">
        <f t="shared" si="12"/>
        <v>2763192</v>
      </c>
      <c r="AF309" s="24"/>
      <c r="AG309" s="24">
        <v>850866</v>
      </c>
      <c r="AH309" s="24"/>
      <c r="AI309" s="24">
        <v>676928</v>
      </c>
      <c r="AJ309" s="24"/>
      <c r="AK309" s="24">
        <v>1527794</v>
      </c>
      <c r="AL309" s="24">
        <f>+'Gov Rev'!AI306-'Gov Exp'!AE309+'Gov Exp'!AI309-'Gov Exp'!AK309</f>
        <v>0</v>
      </c>
      <c r="AM309" s="15" t="str">
        <f>'Gov Rev'!A306</f>
        <v xml:space="preserve">Jefferson  </v>
      </c>
      <c r="AN309" s="15" t="str">
        <f t="shared" si="13"/>
        <v xml:space="preserve">Jefferson  </v>
      </c>
      <c r="AO309" s="15" t="b">
        <f t="shared" si="14"/>
        <v>1</v>
      </c>
    </row>
    <row r="310" spans="1:41" ht="12" customHeight="1" x14ac:dyDescent="0.2">
      <c r="A310" s="1" t="s">
        <v>69</v>
      </c>
      <c r="B310" s="1"/>
      <c r="C310" s="1" t="s">
        <v>757</v>
      </c>
      <c r="E310" s="24">
        <v>52580.04</v>
      </c>
      <c r="G310" s="24">
        <v>1848.96</v>
      </c>
      <c r="I310" s="24">
        <v>45457.94</v>
      </c>
      <c r="K310" s="24">
        <v>1365.58</v>
      </c>
      <c r="M310" s="24">
        <v>4003.5</v>
      </c>
      <c r="O310" s="24">
        <v>32596.07</v>
      </c>
      <c r="Q310" s="24">
        <v>375040.13</v>
      </c>
      <c r="S310" s="24">
        <v>0</v>
      </c>
      <c r="U310" s="24">
        <v>3150</v>
      </c>
      <c r="W310" s="24">
        <v>0</v>
      </c>
      <c r="Y310" s="24">
        <v>0</v>
      </c>
      <c r="AA310" s="24">
        <v>0</v>
      </c>
      <c r="AC310" s="24">
        <v>8084</v>
      </c>
      <c r="AE310" s="24">
        <f t="shared" si="12"/>
        <v>524126.22</v>
      </c>
      <c r="AF310" s="24"/>
      <c r="AG310" s="24">
        <v>20787.47</v>
      </c>
      <c r="AH310" s="24"/>
      <c r="AI310" s="24">
        <v>108817.76</v>
      </c>
      <c r="AJ310" s="24"/>
      <c r="AK310" s="24">
        <v>129605.23</v>
      </c>
      <c r="AL310" s="24">
        <f>+'Gov Rev'!AI307-'Gov Exp'!AE310+'Gov Exp'!AI310-'Gov Exp'!AK310</f>
        <v>0</v>
      </c>
      <c r="AM310" s="15" t="str">
        <f>'Gov Rev'!A307</f>
        <v>Jeffersonville</v>
      </c>
      <c r="AN310" s="15" t="str">
        <f t="shared" si="13"/>
        <v>Jeffersonville</v>
      </c>
      <c r="AO310" s="15" t="b">
        <f t="shared" si="14"/>
        <v>1</v>
      </c>
    </row>
    <row r="311" spans="1:41" ht="12" customHeight="1" x14ac:dyDescent="0.2">
      <c r="A311" s="1" t="s">
        <v>691</v>
      </c>
      <c r="B311" s="1"/>
      <c r="C311" s="1" t="s">
        <v>388</v>
      </c>
      <c r="E311" s="24">
        <v>39035.93</v>
      </c>
      <c r="G311" s="24">
        <v>0</v>
      </c>
      <c r="I311" s="24">
        <v>19094.88</v>
      </c>
      <c r="K311" s="24">
        <v>7736.22</v>
      </c>
      <c r="M311" s="24">
        <v>12279.06</v>
      </c>
      <c r="O311" s="24">
        <v>19769.18</v>
      </c>
      <c r="Q311" s="24">
        <v>37724.129999999997</v>
      </c>
      <c r="S311" s="24">
        <v>42815.81</v>
      </c>
      <c r="U311" s="24">
        <v>14998.29</v>
      </c>
      <c r="W311" s="24">
        <v>33401.370000000003</v>
      </c>
      <c r="Y311" s="24">
        <v>20000</v>
      </c>
      <c r="AA311" s="24">
        <v>0</v>
      </c>
      <c r="AC311" s="24">
        <v>0</v>
      </c>
      <c r="AE311" s="24">
        <f t="shared" si="12"/>
        <v>246854.87</v>
      </c>
      <c r="AF311" s="24"/>
      <c r="AG311" s="24">
        <v>-29072.44</v>
      </c>
      <c r="AH311" s="24"/>
      <c r="AI311" s="24">
        <v>84404.5</v>
      </c>
      <c r="AJ311" s="24"/>
      <c r="AK311" s="24">
        <v>55332.06</v>
      </c>
      <c r="AL311" s="24">
        <f>+'Gov Rev'!AI308-'Gov Exp'!AE311+'Gov Exp'!AI311-'Gov Exp'!AK311</f>
        <v>-0.29999999998835847</v>
      </c>
      <c r="AM311" s="15" t="str">
        <f>'Gov Rev'!A308</f>
        <v>Jenera</v>
      </c>
      <c r="AN311" s="15" t="str">
        <f t="shared" si="13"/>
        <v>Jenera</v>
      </c>
      <c r="AO311" s="15" t="b">
        <f t="shared" si="14"/>
        <v>1</v>
      </c>
    </row>
    <row r="312" spans="1:41" ht="12" customHeight="1" x14ac:dyDescent="0.2">
      <c r="A312" s="15" t="s">
        <v>692</v>
      </c>
      <c r="C312" s="15" t="s">
        <v>666</v>
      </c>
      <c r="D312" s="28"/>
      <c r="E312" s="24">
        <v>10932</v>
      </c>
      <c r="G312" s="24">
        <v>625</v>
      </c>
      <c r="I312" s="24">
        <v>9117</v>
      </c>
      <c r="K312" s="24">
        <v>0</v>
      </c>
      <c r="M312" s="24">
        <v>0</v>
      </c>
      <c r="O312" s="24">
        <v>27296</v>
      </c>
      <c r="Q312" s="24">
        <v>46887</v>
      </c>
      <c r="S312" s="24">
        <v>465</v>
      </c>
      <c r="U312" s="24">
        <v>7087</v>
      </c>
      <c r="W312" s="24">
        <v>52398</v>
      </c>
      <c r="Y312" s="24">
        <v>0</v>
      </c>
      <c r="AA312" s="24">
        <v>0</v>
      </c>
      <c r="AC312" s="24">
        <v>4356</v>
      </c>
      <c r="AE312" s="24">
        <f t="shared" si="12"/>
        <v>159163</v>
      </c>
      <c r="AF312" s="24"/>
      <c r="AG312" s="24">
        <v>-5579</v>
      </c>
      <c r="AH312" s="24"/>
      <c r="AI312" s="24">
        <v>106426</v>
      </c>
      <c r="AJ312" s="24"/>
      <c r="AK312" s="24">
        <v>100846</v>
      </c>
      <c r="AL312" s="24">
        <f>+'Gov Rev'!AI312-'Gov Exp'!AE312+'Gov Exp'!AI312-'Gov Exp'!AK312</f>
        <v>0</v>
      </c>
      <c r="AM312" s="15" t="str">
        <f>'Gov Rev'!A312</f>
        <v>Jeromesville</v>
      </c>
      <c r="AN312" s="15" t="str">
        <f t="shared" si="13"/>
        <v>Jeromesville</v>
      </c>
      <c r="AO312" s="15" t="b">
        <f t="shared" si="14"/>
        <v>1</v>
      </c>
    </row>
    <row r="313" spans="1:41" ht="12" customHeight="1" x14ac:dyDescent="0.2">
      <c r="A313" s="1" t="s">
        <v>693</v>
      </c>
      <c r="B313" s="1"/>
      <c r="C313" s="1" t="s">
        <v>601</v>
      </c>
      <c r="E313" s="24">
        <v>10930.88</v>
      </c>
      <c r="G313" s="24">
        <v>0</v>
      </c>
      <c r="I313" s="24">
        <v>1444.59</v>
      </c>
      <c r="K313" s="24">
        <v>115.1</v>
      </c>
      <c r="M313" s="24">
        <v>0</v>
      </c>
      <c r="O313" s="24">
        <v>15590.09</v>
      </c>
      <c r="Q313" s="24">
        <v>41762.370000000003</v>
      </c>
      <c r="S313" s="24">
        <v>7047.7</v>
      </c>
      <c r="U313" s="24">
        <v>0</v>
      </c>
      <c r="W313" s="24">
        <v>0</v>
      </c>
      <c r="Y313" s="24">
        <v>0</v>
      </c>
      <c r="AA313" s="24">
        <v>23000</v>
      </c>
      <c r="AC313" s="24">
        <v>0</v>
      </c>
      <c r="AE313" s="24">
        <f t="shared" si="12"/>
        <v>99890.73</v>
      </c>
      <c r="AF313" s="24"/>
      <c r="AG313" s="24">
        <v>-7095.54</v>
      </c>
      <c r="AH313" s="24"/>
      <c r="AI313" s="24">
        <v>127431.9</v>
      </c>
      <c r="AJ313" s="24"/>
      <c r="AK313" s="24">
        <v>120336.36</v>
      </c>
      <c r="AL313" s="24">
        <f>+'Gov Rev'!AI313-'Gov Exp'!AE313+'Gov Exp'!AI313-'Gov Exp'!AK313</f>
        <v>0</v>
      </c>
      <c r="AM313" s="15" t="str">
        <f>'Gov Rev'!A313</f>
        <v>Jerry City</v>
      </c>
      <c r="AN313" s="15" t="str">
        <f t="shared" si="13"/>
        <v>Jerry City</v>
      </c>
      <c r="AO313" s="15" t="b">
        <f t="shared" si="14"/>
        <v>1</v>
      </c>
    </row>
    <row r="314" spans="1:41" ht="12" customHeight="1" x14ac:dyDescent="0.2">
      <c r="A314" s="15" t="s">
        <v>102</v>
      </c>
      <c r="C314" s="15" t="s">
        <v>403</v>
      </c>
      <c r="E314" s="24">
        <v>44627.62</v>
      </c>
      <c r="G314" s="24">
        <v>0</v>
      </c>
      <c r="I314" s="24">
        <v>15473.81</v>
      </c>
      <c r="K314" s="24">
        <v>0</v>
      </c>
      <c r="M314" s="24">
        <v>0</v>
      </c>
      <c r="O314" s="24">
        <v>52713.85</v>
      </c>
      <c r="Q314" s="24">
        <v>85976.44</v>
      </c>
      <c r="S314" s="24">
        <v>40340.699999999997</v>
      </c>
      <c r="U314" s="24">
        <v>54318.91</v>
      </c>
      <c r="W314" s="24">
        <v>704.72</v>
      </c>
      <c r="Y314" s="24">
        <v>0</v>
      </c>
      <c r="AA314" s="24">
        <v>0</v>
      </c>
      <c r="AC314" s="24">
        <v>482.9</v>
      </c>
      <c r="AE314" s="24">
        <f t="shared" si="12"/>
        <v>294638.94999999995</v>
      </c>
      <c r="AF314" s="24"/>
      <c r="AG314" s="24">
        <v>-64786.87</v>
      </c>
      <c r="AH314" s="24"/>
      <c r="AI314" s="24">
        <v>187882.75</v>
      </c>
      <c r="AJ314" s="24"/>
      <c r="AK314" s="24">
        <v>123095.88</v>
      </c>
      <c r="AL314" s="24">
        <f>+'Gov Rev'!AI314-'Gov Exp'!AE314+'Gov Exp'!AI314-'Gov Exp'!AK314</f>
        <v>0</v>
      </c>
      <c r="AM314" s="15" t="str">
        <f>'Gov Rev'!A314</f>
        <v>Jewett</v>
      </c>
      <c r="AN314" s="15" t="str">
        <f t="shared" si="13"/>
        <v>Jewett</v>
      </c>
      <c r="AO314" s="15" t="b">
        <f t="shared" si="14"/>
        <v>1</v>
      </c>
    </row>
    <row r="315" spans="1:41" ht="12" hidden="1" customHeight="1" x14ac:dyDescent="0.2">
      <c r="A315" s="15" t="s">
        <v>131</v>
      </c>
      <c r="C315" s="15" t="s">
        <v>439</v>
      </c>
      <c r="AE315" s="24">
        <f t="shared" si="12"/>
        <v>0</v>
      </c>
      <c r="AF315" s="24"/>
      <c r="AG315" s="24"/>
      <c r="AH315" s="24"/>
      <c r="AI315" s="24"/>
      <c r="AJ315" s="24"/>
      <c r="AK315" s="24"/>
      <c r="AL315" s="24">
        <f>+'Gov Rev'!AI315-'Gov Exp'!AE315+'Gov Exp'!AI315-'Gov Exp'!AK315</f>
        <v>0</v>
      </c>
      <c r="AM315" s="15" t="str">
        <f>'Gov Rev'!A315</f>
        <v>Johnstown</v>
      </c>
      <c r="AN315" s="15" t="str">
        <f t="shared" si="13"/>
        <v>Johnstown</v>
      </c>
      <c r="AO315" s="15" t="b">
        <f t="shared" si="14"/>
        <v>1</v>
      </c>
    </row>
    <row r="316" spans="1:41" ht="12" customHeight="1" x14ac:dyDescent="0.2">
      <c r="A316" s="15" t="s">
        <v>694</v>
      </c>
      <c r="C316" s="15" t="s">
        <v>500</v>
      </c>
      <c r="E316" s="24">
        <v>60798</v>
      </c>
      <c r="G316" s="24">
        <v>0</v>
      </c>
      <c r="I316" s="24">
        <v>0</v>
      </c>
      <c r="K316" s="24">
        <v>0</v>
      </c>
      <c r="M316" s="24">
        <v>41213</v>
      </c>
      <c r="O316" s="24">
        <v>12365</v>
      </c>
      <c r="Q316" s="24">
        <v>66045</v>
      </c>
      <c r="S316" s="24">
        <v>0</v>
      </c>
      <c r="U316" s="24">
        <v>11036</v>
      </c>
      <c r="W316" s="24">
        <v>3103</v>
      </c>
      <c r="Y316" s="24">
        <v>0</v>
      </c>
      <c r="AA316" s="24">
        <v>0</v>
      </c>
      <c r="AC316" s="24">
        <v>0</v>
      </c>
      <c r="AE316" s="24">
        <f t="shared" si="12"/>
        <v>194560</v>
      </c>
      <c r="AF316" s="24"/>
      <c r="AG316" s="24">
        <v>124111</v>
      </c>
      <c r="AH316" s="24"/>
      <c r="AI316" s="24">
        <f>AK316-AG316</f>
        <v>465139</v>
      </c>
      <c r="AJ316" s="24"/>
      <c r="AK316" s="24">
        <v>589250</v>
      </c>
      <c r="AL316" s="24">
        <f>+'Gov Rev'!AI316-'Gov Exp'!AE316+'Gov Exp'!AI316-'Gov Exp'!AK316</f>
        <v>0</v>
      </c>
      <c r="AM316" s="15" t="str">
        <f>'Gov Rev'!A316</f>
        <v>Junction City</v>
      </c>
      <c r="AN316" s="15" t="str">
        <f t="shared" si="13"/>
        <v>Junction City</v>
      </c>
      <c r="AO316" s="15" t="b">
        <f t="shared" si="14"/>
        <v>1</v>
      </c>
    </row>
    <row r="317" spans="1:41" ht="12" customHeight="1" x14ac:dyDescent="0.2">
      <c r="A317" s="1" t="s">
        <v>829</v>
      </c>
      <c r="B317" s="1"/>
      <c r="C317" s="1" t="s">
        <v>513</v>
      </c>
      <c r="E317" s="24">
        <v>135539.63</v>
      </c>
      <c r="G317" s="24">
        <v>0</v>
      </c>
      <c r="I317" s="24">
        <v>10348.870000000001</v>
      </c>
      <c r="K317" s="24">
        <v>0</v>
      </c>
      <c r="M317" s="24">
        <v>1700.01</v>
      </c>
      <c r="O317" s="24">
        <v>25790.16</v>
      </c>
      <c r="Q317" s="24">
        <v>259667.79</v>
      </c>
      <c r="S317" s="24">
        <v>29130.22</v>
      </c>
      <c r="U317" s="24">
        <v>238611.48</v>
      </c>
      <c r="W317" s="24">
        <v>10832.29</v>
      </c>
      <c r="Y317" s="24">
        <v>92000</v>
      </c>
      <c r="AA317" s="24">
        <v>22550.53</v>
      </c>
      <c r="AC317" s="24">
        <v>0</v>
      </c>
      <c r="AE317" s="24">
        <f t="shared" si="12"/>
        <v>826170.9800000001</v>
      </c>
      <c r="AF317" s="24"/>
      <c r="AG317" s="24">
        <v>381914.95</v>
      </c>
      <c r="AH317" s="24"/>
      <c r="AI317" s="24">
        <v>1164385.74</v>
      </c>
      <c r="AJ317" s="24"/>
      <c r="AK317" s="24">
        <v>1546300.69</v>
      </c>
      <c r="AL317" s="24">
        <f>+'Gov Rev'!AI317-'Gov Exp'!AE317+'Gov Exp'!AI317-'Gov Exp'!AK317</f>
        <v>0</v>
      </c>
      <c r="AM317" s="15" t="str">
        <f>'Gov Rev'!A317</f>
        <v>Kalida</v>
      </c>
      <c r="AN317" s="15" t="str">
        <f t="shared" si="13"/>
        <v>Kalida</v>
      </c>
      <c r="AO317" s="15" t="b">
        <f t="shared" si="14"/>
        <v>1</v>
      </c>
    </row>
    <row r="318" spans="1:41" ht="12" customHeight="1" x14ac:dyDescent="0.2">
      <c r="A318" s="15" t="s">
        <v>695</v>
      </c>
      <c r="C318" s="15" t="s">
        <v>348</v>
      </c>
      <c r="E318" s="24">
        <v>215649</v>
      </c>
      <c r="G318" s="24">
        <v>55082</v>
      </c>
      <c r="I318" s="24">
        <v>4302</v>
      </c>
      <c r="K318" s="24">
        <v>13862</v>
      </c>
      <c r="M318" s="24">
        <v>0</v>
      </c>
      <c r="O318" s="24">
        <v>133702</v>
      </c>
      <c r="Q318" s="24">
        <v>270886</v>
      </c>
      <c r="S318" s="24">
        <v>769573</v>
      </c>
      <c r="U318" s="24">
        <v>31306</v>
      </c>
      <c r="W318" s="24">
        <v>0</v>
      </c>
      <c r="Y318" s="24">
        <v>16</v>
      </c>
      <c r="AA318" s="24">
        <v>22000</v>
      </c>
      <c r="AC318" s="24">
        <v>8</v>
      </c>
      <c r="AE318" s="24">
        <f t="shared" si="12"/>
        <v>1516386</v>
      </c>
      <c r="AF318" s="24"/>
      <c r="AG318" s="24">
        <v>342148</v>
      </c>
      <c r="AH318" s="24"/>
      <c r="AI318" s="24">
        <f>AK318-AG318</f>
        <v>1088230</v>
      </c>
      <c r="AJ318" s="24"/>
      <c r="AK318" s="24">
        <v>1430378</v>
      </c>
      <c r="AL318" s="24">
        <f>+'Gov Rev'!AI318-'Gov Exp'!AE318+'Gov Exp'!AI318-'Gov Exp'!AK318</f>
        <v>0</v>
      </c>
      <c r="AM318" s="15" t="str">
        <f>'Gov Rev'!A318</f>
        <v>Kelley's Island</v>
      </c>
      <c r="AN318" s="15" t="str">
        <f t="shared" si="13"/>
        <v>Kelley's Island</v>
      </c>
      <c r="AO318" s="15" t="b">
        <f t="shared" si="14"/>
        <v>1</v>
      </c>
    </row>
    <row r="319" spans="1:41" ht="12" customHeight="1" x14ac:dyDescent="0.2">
      <c r="A319" s="15" t="s">
        <v>961</v>
      </c>
      <c r="C319" s="15" t="s">
        <v>536</v>
      </c>
      <c r="E319" s="24">
        <v>3608</v>
      </c>
      <c r="G319" s="24">
        <v>724</v>
      </c>
      <c r="I319" s="24">
        <v>0</v>
      </c>
      <c r="K319" s="24">
        <v>0</v>
      </c>
      <c r="M319" s="24">
        <v>0</v>
      </c>
      <c r="O319" s="24">
        <v>65609</v>
      </c>
      <c r="Q319" s="24">
        <v>18179</v>
      </c>
      <c r="S319" s="24">
        <v>0</v>
      </c>
      <c r="U319" s="24">
        <v>0</v>
      </c>
      <c r="W319" s="24">
        <v>0</v>
      </c>
      <c r="Y319" s="24">
        <v>0</v>
      </c>
      <c r="AA319" s="24">
        <v>0</v>
      </c>
      <c r="AC319" s="24">
        <v>0</v>
      </c>
      <c r="AE319" s="24">
        <f t="shared" si="12"/>
        <v>88120</v>
      </c>
      <c r="AF319" s="24"/>
      <c r="AG319" s="24">
        <v>18715</v>
      </c>
      <c r="AH319" s="24"/>
      <c r="AI319" s="24">
        <v>0</v>
      </c>
      <c r="AJ319" s="24"/>
      <c r="AK319" s="24">
        <v>18715</v>
      </c>
      <c r="AL319" s="24">
        <f>+'Gov Rev'!AI319-'Gov Exp'!AE319+'Gov Exp'!AI319-'Gov Exp'!AK319</f>
        <v>0</v>
      </c>
      <c r="AM319" s="15" t="str">
        <f>'Gov Rev'!A319</f>
        <v>Kettlersville</v>
      </c>
      <c r="AN319" s="15" t="str">
        <f t="shared" si="13"/>
        <v>Kettlersville</v>
      </c>
      <c r="AO319" s="15" t="b">
        <f t="shared" si="14"/>
        <v>1</v>
      </c>
    </row>
    <row r="320" spans="1:41" ht="12" customHeight="1" x14ac:dyDescent="0.2">
      <c r="A320" s="15" t="s">
        <v>889</v>
      </c>
      <c r="C320" s="15" t="s">
        <v>412</v>
      </c>
      <c r="D320" s="28"/>
      <c r="E320" s="24">
        <v>22872</v>
      </c>
      <c r="G320" s="24">
        <v>236</v>
      </c>
      <c r="I320" s="24">
        <v>26709</v>
      </c>
      <c r="K320" s="24">
        <v>0</v>
      </c>
      <c r="M320" s="24">
        <v>47964</v>
      </c>
      <c r="O320" s="24">
        <v>105039</v>
      </c>
      <c r="Q320" s="24">
        <v>77477</v>
      </c>
      <c r="S320" s="24">
        <v>0</v>
      </c>
      <c r="U320" s="24">
        <v>0</v>
      </c>
      <c r="W320" s="24">
        <v>0</v>
      </c>
      <c r="Y320" s="24">
        <v>0</v>
      </c>
      <c r="AA320" s="24">
        <v>0</v>
      </c>
      <c r="AC320" s="24">
        <v>0</v>
      </c>
      <c r="AE320" s="24">
        <f t="shared" si="12"/>
        <v>280297</v>
      </c>
      <c r="AF320" s="24"/>
      <c r="AG320" s="24">
        <v>90187</v>
      </c>
      <c r="AH320" s="24"/>
      <c r="AI320" s="24">
        <v>278663</v>
      </c>
      <c r="AJ320" s="24"/>
      <c r="AK320" s="24">
        <v>368850</v>
      </c>
      <c r="AL320" s="24">
        <f>+'Gov Rev'!AI320-'Gov Exp'!AE320+'Gov Exp'!AI320-'Gov Exp'!AK320</f>
        <v>0</v>
      </c>
      <c r="AM320" s="15" t="str">
        <f>'Gov Rev'!A320</f>
        <v>Killbuck</v>
      </c>
      <c r="AN320" s="15" t="str">
        <f t="shared" si="13"/>
        <v>Killbuck</v>
      </c>
      <c r="AO320" s="15" t="b">
        <f t="shared" si="14"/>
        <v>1</v>
      </c>
    </row>
    <row r="321" spans="1:41" ht="12" customHeight="1" x14ac:dyDescent="0.2">
      <c r="A321" s="1" t="s">
        <v>213</v>
      </c>
      <c r="B321" s="1"/>
      <c r="C321" s="1" t="s">
        <v>799</v>
      </c>
      <c r="E321" s="24">
        <v>7785.06</v>
      </c>
      <c r="G321" s="24">
        <v>0</v>
      </c>
      <c r="I321" s="24">
        <v>6735.2</v>
      </c>
      <c r="K321" s="24">
        <v>2614.65</v>
      </c>
      <c r="M321" s="24">
        <v>0</v>
      </c>
      <c r="O321" s="24">
        <v>6587.69</v>
      </c>
      <c r="Q321" s="24">
        <v>53274.55</v>
      </c>
      <c r="S321" s="24">
        <v>0</v>
      </c>
      <c r="U321" s="24">
        <v>0</v>
      </c>
      <c r="W321" s="24">
        <v>0</v>
      </c>
      <c r="Y321" s="24">
        <v>1313</v>
      </c>
      <c r="AA321" s="24">
        <v>0</v>
      </c>
      <c r="AC321" s="24">
        <v>25</v>
      </c>
      <c r="AE321" s="24">
        <f t="shared" si="12"/>
        <v>78335.149999999994</v>
      </c>
      <c r="AF321" s="24"/>
      <c r="AG321" s="24">
        <v>31330.38</v>
      </c>
      <c r="AH321" s="24"/>
      <c r="AI321" s="24">
        <v>750526.33</v>
      </c>
      <c r="AJ321" s="24"/>
      <c r="AK321" s="24">
        <v>781856.71</v>
      </c>
      <c r="AL321" s="24">
        <f>+'Gov Rev'!AI321-'Gov Exp'!AE321+'Gov Exp'!AI321-'Gov Exp'!AK321</f>
        <v>0</v>
      </c>
      <c r="AM321" s="15" t="str">
        <f>'Gov Rev'!A321</f>
        <v>Kingston</v>
      </c>
      <c r="AN321" s="15" t="str">
        <f t="shared" si="13"/>
        <v>Kingston</v>
      </c>
      <c r="AO321" s="15" t="b">
        <f t="shared" si="14"/>
        <v>1</v>
      </c>
    </row>
    <row r="322" spans="1:41" ht="12" customHeight="1" x14ac:dyDescent="0.2">
      <c r="A322" s="1" t="s">
        <v>136</v>
      </c>
      <c r="B322" s="1"/>
      <c r="C322" s="1" t="s">
        <v>776</v>
      </c>
      <c r="E322" s="24">
        <v>19054.580000000002</v>
      </c>
      <c r="G322" s="24">
        <v>0</v>
      </c>
      <c r="I322" s="24">
        <v>0</v>
      </c>
      <c r="K322" s="24">
        <v>0</v>
      </c>
      <c r="M322" s="24">
        <v>0</v>
      </c>
      <c r="O322" s="24">
        <v>20320.2</v>
      </c>
      <c r="Q322" s="24">
        <v>21266.7</v>
      </c>
      <c r="S322" s="24">
        <v>0</v>
      </c>
      <c r="U322" s="24">
        <v>1973.72</v>
      </c>
      <c r="W322" s="24">
        <v>452.04</v>
      </c>
      <c r="Y322" s="24">
        <v>0</v>
      </c>
      <c r="AA322" s="24">
        <v>0</v>
      </c>
      <c r="AC322" s="24">
        <v>0</v>
      </c>
      <c r="AE322" s="24">
        <f t="shared" si="12"/>
        <v>63067.24</v>
      </c>
      <c r="AF322" s="24"/>
      <c r="AG322" s="24">
        <v>1140.8599999999999</v>
      </c>
      <c r="AH322" s="24"/>
      <c r="AI322" s="24">
        <v>55635.89</v>
      </c>
      <c r="AJ322" s="24"/>
      <c r="AK322" s="24">
        <v>56776.75</v>
      </c>
      <c r="AL322" s="24">
        <f>+'Gov Rev'!AI322-'Gov Exp'!AE322+'Gov Exp'!AI322-'Gov Exp'!AK322</f>
        <v>0</v>
      </c>
      <c r="AM322" s="15" t="str">
        <f>'Gov Rev'!A322</f>
        <v>Kipton</v>
      </c>
      <c r="AN322" s="15" t="str">
        <f t="shared" si="13"/>
        <v>Kipton</v>
      </c>
      <c r="AO322" s="15" t="b">
        <f t="shared" si="14"/>
        <v>1</v>
      </c>
    </row>
    <row r="323" spans="1:41" ht="12" customHeight="1" x14ac:dyDescent="0.2">
      <c r="A323" s="1" t="s">
        <v>265</v>
      </c>
      <c r="B323" s="1"/>
      <c r="C323" s="1" t="s">
        <v>814</v>
      </c>
      <c r="E323" s="24">
        <v>7345.62</v>
      </c>
      <c r="G323" s="24">
        <v>1194.73</v>
      </c>
      <c r="I323" s="24">
        <v>0</v>
      </c>
      <c r="K323" s="24">
        <v>0</v>
      </c>
      <c r="M323" s="24">
        <v>0</v>
      </c>
      <c r="O323" s="24">
        <v>13633.8</v>
      </c>
      <c r="Q323" s="24">
        <v>11342.56</v>
      </c>
      <c r="S323" s="24">
        <v>0</v>
      </c>
      <c r="U323" s="24">
        <v>0</v>
      </c>
      <c r="W323" s="24">
        <v>0</v>
      </c>
      <c r="Y323" s="24">
        <v>0</v>
      </c>
      <c r="AA323" s="24">
        <v>0</v>
      </c>
      <c r="AC323" s="24">
        <v>0</v>
      </c>
      <c r="AE323" s="24">
        <f t="shared" si="12"/>
        <v>33516.71</v>
      </c>
      <c r="AF323" s="24"/>
      <c r="AG323" s="24">
        <v>-8488.0499999999993</v>
      </c>
      <c r="AH323" s="24"/>
      <c r="AI323" s="24">
        <v>75440.31</v>
      </c>
      <c r="AJ323" s="24"/>
      <c r="AK323" s="24">
        <v>66952.259999999995</v>
      </c>
      <c r="AL323" s="24">
        <f>+'Gov Rev'!AI323-'Gov Exp'!AE323+'Gov Exp'!AI323-'Gov Exp'!AK323</f>
        <v>0</v>
      </c>
      <c r="AM323" s="15" t="str">
        <f>'Gov Rev'!A323</f>
        <v>Kirby</v>
      </c>
      <c r="AN323" s="15" t="str">
        <f t="shared" si="13"/>
        <v>Kirby</v>
      </c>
      <c r="AO323" s="15" t="b">
        <f t="shared" si="14"/>
        <v>1</v>
      </c>
    </row>
    <row r="324" spans="1:41" ht="12" customHeight="1" x14ac:dyDescent="0.2">
      <c r="A324" s="1" t="s">
        <v>696</v>
      </c>
      <c r="B324" s="1"/>
      <c r="C324" s="1" t="s">
        <v>439</v>
      </c>
      <c r="D324" s="28"/>
      <c r="E324" s="24">
        <v>38058.5</v>
      </c>
      <c r="G324" s="24">
        <v>0</v>
      </c>
      <c r="I324" s="24">
        <v>0</v>
      </c>
      <c r="K324" s="24">
        <v>1289.73</v>
      </c>
      <c r="M324" s="24">
        <v>0</v>
      </c>
      <c r="O324" s="24">
        <v>18729.46</v>
      </c>
      <c r="Q324" s="24">
        <v>150017.93</v>
      </c>
      <c r="S324" s="24">
        <v>11204</v>
      </c>
      <c r="U324" s="24">
        <v>0</v>
      </c>
      <c r="W324" s="24">
        <v>0</v>
      </c>
      <c r="Y324" s="24">
        <v>0</v>
      </c>
      <c r="AA324" s="24">
        <v>0</v>
      </c>
      <c r="AC324" s="24">
        <v>0</v>
      </c>
      <c r="AE324" s="24">
        <f t="shared" si="12"/>
        <v>219299.62</v>
      </c>
      <c r="AF324" s="24"/>
      <c r="AG324" s="24">
        <v>-9044.6200000000008</v>
      </c>
      <c r="AH324" s="24"/>
      <c r="AI324" s="24">
        <v>46822.14</v>
      </c>
      <c r="AJ324" s="24"/>
      <c r="AK324" s="24">
        <v>37777.519999999997</v>
      </c>
      <c r="AL324" s="24">
        <f>+'Gov Rev'!AI324-'Gov Exp'!AE324+'Gov Exp'!AI324-'Gov Exp'!AK324</f>
        <v>0</v>
      </c>
      <c r="AM324" s="15" t="str">
        <f>'Gov Rev'!A324</f>
        <v>Kirkersville</v>
      </c>
      <c r="AN324" s="15" t="str">
        <f t="shared" si="13"/>
        <v>Kirkersville</v>
      </c>
      <c r="AO324" s="15" t="b">
        <f t="shared" si="14"/>
        <v>1</v>
      </c>
    </row>
    <row r="325" spans="1:41" ht="12" customHeight="1" x14ac:dyDescent="0.2">
      <c r="A325" s="15" t="s">
        <v>904</v>
      </c>
      <c r="C325" s="15" t="s">
        <v>430</v>
      </c>
      <c r="E325" s="24">
        <v>1317203</v>
      </c>
      <c r="G325" s="24">
        <v>16642</v>
      </c>
      <c r="I325" s="24">
        <v>2610</v>
      </c>
      <c r="K325" s="24">
        <v>0</v>
      </c>
      <c r="M325" s="24">
        <v>62500</v>
      </c>
      <c r="O325" s="24">
        <v>1406407</v>
      </c>
      <c r="Q325" s="24">
        <v>245735</v>
      </c>
      <c r="S325" s="24">
        <v>420622</v>
      </c>
      <c r="U325" s="24">
        <v>0</v>
      </c>
      <c r="W325" s="24">
        <v>0</v>
      </c>
      <c r="Y325" s="24">
        <v>838076</v>
      </c>
      <c r="AA325" s="24">
        <v>0</v>
      </c>
      <c r="AC325" s="24">
        <v>0</v>
      </c>
      <c r="AE325" s="24">
        <f t="shared" si="12"/>
        <v>4309795</v>
      </c>
      <c r="AF325" s="24"/>
      <c r="AG325" s="24">
        <v>-20150</v>
      </c>
      <c r="AH325" s="24"/>
      <c r="AI325" s="24">
        <v>16594176</v>
      </c>
      <c r="AJ325" s="24"/>
      <c r="AK325" s="24">
        <v>16574026</v>
      </c>
      <c r="AL325" s="24">
        <f>+'Gov Rev'!AI325-'Gov Exp'!AE325+'Gov Exp'!AI325-'Gov Exp'!AK325</f>
        <v>0</v>
      </c>
      <c r="AM325" s="15" t="str">
        <f>'Gov Rev'!A325</f>
        <v>Kirtland Hills</v>
      </c>
      <c r="AN325" s="15" t="str">
        <f t="shared" si="13"/>
        <v>Kirtland Hills</v>
      </c>
      <c r="AO325" s="15" t="b">
        <f t="shared" si="14"/>
        <v>1</v>
      </c>
    </row>
    <row r="326" spans="1:41" ht="12" customHeight="1" x14ac:dyDescent="0.2">
      <c r="A326" s="1" t="s">
        <v>967</v>
      </c>
      <c r="B326" s="1"/>
      <c r="C326" s="1" t="s">
        <v>463</v>
      </c>
      <c r="E326" s="24">
        <v>26474.75</v>
      </c>
      <c r="G326" s="24">
        <v>0</v>
      </c>
      <c r="I326" s="24">
        <v>33921.94</v>
      </c>
      <c r="K326" s="24">
        <v>0</v>
      </c>
      <c r="M326" s="24">
        <v>0</v>
      </c>
      <c r="O326" s="24">
        <v>67206.55</v>
      </c>
      <c r="Q326" s="24">
        <v>2142074.54</v>
      </c>
      <c r="S326" s="24">
        <v>0</v>
      </c>
      <c r="U326" s="24">
        <v>0</v>
      </c>
      <c r="W326" s="24">
        <v>0</v>
      </c>
      <c r="Y326" s="24">
        <v>0</v>
      </c>
      <c r="AA326" s="24">
        <v>0</v>
      </c>
      <c r="AC326" s="24">
        <v>0</v>
      </c>
      <c r="AE326" s="24">
        <f t="shared" si="12"/>
        <v>2269677.7800000003</v>
      </c>
      <c r="AF326" s="24"/>
      <c r="AG326" s="24">
        <v>10713.81</v>
      </c>
      <c r="AH326" s="24"/>
      <c r="AI326" s="24">
        <v>19533.72</v>
      </c>
      <c r="AJ326" s="24"/>
      <c r="AK326" s="24">
        <v>30247.53</v>
      </c>
      <c r="AL326" s="24">
        <f>+'Gov Rev'!AI326-'Gov Exp'!AE326+'Gov Exp'!AI326-'Gov Exp'!AK326</f>
        <v>-4.0745362639427185E-10</v>
      </c>
      <c r="AM326" s="15" t="str">
        <f>'Gov Rev'!A326</f>
        <v>La Rue</v>
      </c>
      <c r="AN326" s="15" t="str">
        <f t="shared" si="13"/>
        <v>La Rue</v>
      </c>
      <c r="AO326" s="15" t="b">
        <f t="shared" si="14"/>
        <v>1</v>
      </c>
    </row>
    <row r="327" spans="1:41" ht="12" customHeight="1" x14ac:dyDescent="0.2">
      <c r="A327" s="1" t="s">
        <v>5</v>
      </c>
      <c r="B327" s="1"/>
      <c r="C327" s="1" t="s">
        <v>737</v>
      </c>
      <c r="E327" s="24">
        <v>15358.35</v>
      </c>
      <c r="G327" s="24">
        <v>0</v>
      </c>
      <c r="I327" s="24">
        <v>256.77999999999997</v>
      </c>
      <c r="K327" s="24">
        <v>0</v>
      </c>
      <c r="M327" s="24">
        <v>2766.79</v>
      </c>
      <c r="O327" s="24">
        <v>16642.900000000001</v>
      </c>
      <c r="Q327" s="24">
        <v>22680.12</v>
      </c>
      <c r="S327" s="24">
        <v>1621.77</v>
      </c>
      <c r="U327" s="24">
        <v>640.98</v>
      </c>
      <c r="W327" s="24">
        <v>129.31</v>
      </c>
      <c r="Y327" s="24">
        <v>6485.58</v>
      </c>
      <c r="AA327" s="24">
        <v>0</v>
      </c>
      <c r="AC327" s="24">
        <v>0</v>
      </c>
      <c r="AE327" s="24">
        <f t="shared" si="12"/>
        <v>66582.58</v>
      </c>
      <c r="AF327" s="24"/>
      <c r="AG327" s="24">
        <v>3728.21</v>
      </c>
      <c r="AH327" s="24"/>
      <c r="AI327" s="24">
        <v>22386.68</v>
      </c>
      <c r="AJ327" s="24"/>
      <c r="AK327" s="24">
        <v>26114.89</v>
      </c>
      <c r="AL327" s="24">
        <f>+'Gov Rev'!AI327-'Gov Exp'!AE327+'Gov Exp'!AI327-'Gov Exp'!AK327</f>
        <v>0</v>
      </c>
      <c r="AM327" s="15" t="str">
        <f>'Gov Rev'!A327</f>
        <v>Lafayette</v>
      </c>
      <c r="AN327" s="15" t="str">
        <f t="shared" si="13"/>
        <v>Lafayette</v>
      </c>
      <c r="AO327" s="15" t="b">
        <f t="shared" si="14"/>
        <v>1</v>
      </c>
    </row>
    <row r="328" spans="1:41" ht="12" customHeight="1" x14ac:dyDescent="0.2">
      <c r="A328" s="1" t="s">
        <v>137</v>
      </c>
      <c r="B328" s="1"/>
      <c r="C328" s="1" t="s">
        <v>776</v>
      </c>
      <c r="E328" s="24">
        <v>508168.09</v>
      </c>
      <c r="G328" s="24">
        <v>7608.44</v>
      </c>
      <c r="I328" s="24">
        <v>90209.9</v>
      </c>
      <c r="K328" s="24">
        <v>45177.58</v>
      </c>
      <c r="M328" s="24">
        <v>154794.43</v>
      </c>
      <c r="O328" s="24">
        <v>59077.35</v>
      </c>
      <c r="Q328" s="24">
        <v>420927.35</v>
      </c>
      <c r="S328" s="24">
        <v>0</v>
      </c>
      <c r="U328" s="24">
        <v>41260.76</v>
      </c>
      <c r="W328" s="24">
        <v>0</v>
      </c>
      <c r="Y328" s="24">
        <v>152941.70000000001</v>
      </c>
      <c r="AA328" s="24">
        <v>0</v>
      </c>
      <c r="AC328" s="24">
        <v>0</v>
      </c>
      <c r="AE328" s="24">
        <f t="shared" si="12"/>
        <v>1480165.5999999999</v>
      </c>
      <c r="AF328" s="24"/>
      <c r="AG328" s="24">
        <v>89942.7</v>
      </c>
      <c r="AH328" s="24"/>
      <c r="AI328" s="24">
        <v>1320524.47</v>
      </c>
      <c r="AJ328" s="24"/>
      <c r="AK328" s="24">
        <v>1410467.17</v>
      </c>
      <c r="AL328" s="24">
        <f>+'Gov Rev'!AI328-'Gov Exp'!AE328+'Gov Exp'!AI328-'Gov Exp'!AK328</f>
        <v>0</v>
      </c>
      <c r="AM328" s="15" t="str">
        <f>'Gov Rev'!A328</f>
        <v>Lagrange</v>
      </c>
      <c r="AN328" s="15" t="str">
        <f t="shared" si="13"/>
        <v>Lagrange</v>
      </c>
      <c r="AO328" s="15" t="b">
        <f t="shared" si="14"/>
        <v>1</v>
      </c>
    </row>
    <row r="329" spans="1:41" ht="12" customHeight="1" x14ac:dyDescent="0.2">
      <c r="A329" s="1" t="s">
        <v>698</v>
      </c>
      <c r="B329" s="1"/>
      <c r="C329" s="1" t="s">
        <v>430</v>
      </c>
      <c r="E329" s="24">
        <v>53551.3</v>
      </c>
      <c r="G329" s="24">
        <v>0</v>
      </c>
      <c r="I329" s="24">
        <v>0</v>
      </c>
      <c r="K329" s="24">
        <v>0</v>
      </c>
      <c r="M329" s="24">
        <v>10245.950000000001</v>
      </c>
      <c r="O329" s="24">
        <v>4817.29</v>
      </c>
      <c r="Q329" s="24">
        <v>20145.2</v>
      </c>
      <c r="S329" s="24">
        <v>0</v>
      </c>
      <c r="U329" s="24">
        <v>17633.82</v>
      </c>
      <c r="W329" s="24">
        <v>4558.66</v>
      </c>
      <c r="Y329" s="24">
        <v>0</v>
      </c>
      <c r="AA329" s="24">
        <v>0</v>
      </c>
      <c r="AC329" s="24">
        <v>0</v>
      </c>
      <c r="AE329" s="24">
        <f t="shared" si="12"/>
        <v>110952.22</v>
      </c>
      <c r="AF329" s="24"/>
      <c r="AG329" s="24">
        <v>-1809.04</v>
      </c>
      <c r="AH329" s="24"/>
      <c r="AI329" s="24">
        <v>251196.08</v>
      </c>
      <c r="AJ329" s="24"/>
      <c r="AK329" s="24">
        <v>249387.04</v>
      </c>
      <c r="AL329" s="24">
        <f>+'Gov Rev'!AI329-'Gov Exp'!AE329+'Gov Exp'!AI329-'Gov Exp'!AK329</f>
        <v>0</v>
      </c>
      <c r="AM329" s="15" t="str">
        <f>'Gov Rev'!A329</f>
        <v>Lakeline</v>
      </c>
      <c r="AN329" s="15" t="str">
        <f t="shared" si="13"/>
        <v>Lakeline</v>
      </c>
      <c r="AO329" s="15" t="b">
        <f t="shared" si="14"/>
        <v>1</v>
      </c>
    </row>
    <row r="330" spans="1:41" ht="12" customHeight="1" x14ac:dyDescent="0.2">
      <c r="A330" s="15" t="s">
        <v>817</v>
      </c>
      <c r="C330" s="15" t="s">
        <v>549</v>
      </c>
      <c r="E330" s="24">
        <v>877005.8</v>
      </c>
      <c r="G330" s="24">
        <v>370.83</v>
      </c>
      <c r="I330" s="24">
        <v>5332.31</v>
      </c>
      <c r="K330" s="24">
        <v>3352.93</v>
      </c>
      <c r="M330" s="24">
        <v>0</v>
      </c>
      <c r="O330" s="24">
        <v>130491.55</v>
      </c>
      <c r="Q330" s="24">
        <v>252841.39</v>
      </c>
      <c r="S330" s="24">
        <v>0</v>
      </c>
      <c r="U330" s="24">
        <v>0</v>
      </c>
      <c r="W330" s="24">
        <v>0</v>
      </c>
      <c r="Y330" s="24">
        <v>6935.07</v>
      </c>
      <c r="AA330" s="24">
        <v>0</v>
      </c>
      <c r="AC330" s="24">
        <v>16650.169999999998</v>
      </c>
      <c r="AE330" s="24">
        <f t="shared" si="12"/>
        <v>1292980.05</v>
      </c>
      <c r="AF330" s="24"/>
      <c r="AG330" s="24">
        <v>239277.52</v>
      </c>
      <c r="AH330" s="24"/>
      <c r="AI330" s="24">
        <v>-860341.53</v>
      </c>
      <c r="AJ330" s="24"/>
      <c r="AK330" s="24">
        <v>-621064.01</v>
      </c>
      <c r="AL330" s="24">
        <f>+'Gov Rev'!AI330-'Gov Exp'!AE330+'Gov Exp'!AI330-'Gov Exp'!AK330</f>
        <v>0</v>
      </c>
      <c r="AM330" s="15" t="str">
        <f>'Gov Rev'!A330</f>
        <v>Lakemore</v>
      </c>
      <c r="AN330" s="15" t="str">
        <f t="shared" si="13"/>
        <v>Lakemore</v>
      </c>
      <c r="AO330" s="15" t="b">
        <f t="shared" si="14"/>
        <v>1</v>
      </c>
    </row>
    <row r="331" spans="1:41" ht="12" customHeight="1" x14ac:dyDescent="0.2">
      <c r="A331" s="1" t="s">
        <v>697</v>
      </c>
      <c r="B331" s="1"/>
      <c r="C331" s="1" t="s">
        <v>446</v>
      </c>
      <c r="E331" s="24">
        <v>90931.6</v>
      </c>
      <c r="G331" s="24">
        <v>0</v>
      </c>
      <c r="I331" s="24">
        <v>1861.65</v>
      </c>
      <c r="K331" s="24">
        <v>0</v>
      </c>
      <c r="M331" s="24">
        <v>4418.6099999999997</v>
      </c>
      <c r="O331" s="24">
        <v>80808.88</v>
      </c>
      <c r="Q331" s="24">
        <v>252400.24</v>
      </c>
      <c r="S331" s="24">
        <v>0</v>
      </c>
      <c r="U331" s="24">
        <v>0</v>
      </c>
      <c r="W331" s="24">
        <v>0</v>
      </c>
      <c r="Y331" s="24">
        <v>0</v>
      </c>
      <c r="AA331" s="24">
        <v>0</v>
      </c>
      <c r="AC331" s="24">
        <v>0</v>
      </c>
      <c r="AE331" s="24">
        <f t="shared" si="12"/>
        <v>430420.98</v>
      </c>
      <c r="AF331" s="24"/>
      <c r="AG331" s="24">
        <v>59138.33</v>
      </c>
      <c r="AH331" s="24"/>
      <c r="AI331" s="24">
        <v>510161.68</v>
      </c>
      <c r="AJ331" s="24"/>
      <c r="AK331" s="24">
        <v>569300.01</v>
      </c>
      <c r="AL331" s="24">
        <f>+'Gov Rev'!AI331-'Gov Exp'!AE331+'Gov Exp'!AI331-'Gov Exp'!AK331</f>
        <v>0</v>
      </c>
      <c r="AM331" s="15" t="str">
        <f>'Gov Rev'!A331</f>
        <v>Lakeview</v>
      </c>
      <c r="AN331" s="15" t="str">
        <f t="shared" si="13"/>
        <v>Lakeview</v>
      </c>
      <c r="AO331" s="15" t="b">
        <f t="shared" si="14"/>
        <v>1</v>
      </c>
    </row>
    <row r="332" spans="1:41" ht="12" customHeight="1" x14ac:dyDescent="0.2">
      <c r="A332" s="1" t="s">
        <v>184</v>
      </c>
      <c r="B332" s="1"/>
      <c r="C332" s="1" t="s">
        <v>792</v>
      </c>
      <c r="E332" s="24">
        <v>13505.82</v>
      </c>
      <c r="G332" s="24">
        <v>0</v>
      </c>
      <c r="I332" s="24">
        <v>0</v>
      </c>
      <c r="K332" s="24">
        <v>0</v>
      </c>
      <c r="M332" s="24">
        <v>0</v>
      </c>
      <c r="O332" s="24">
        <v>11540.35</v>
      </c>
      <c r="Q332" s="24">
        <v>32162.59</v>
      </c>
      <c r="S332" s="24">
        <v>3225</v>
      </c>
      <c r="U332" s="24">
        <v>0</v>
      </c>
      <c r="W332" s="24">
        <v>0</v>
      </c>
      <c r="Y332" s="24">
        <v>3000</v>
      </c>
      <c r="AA332" s="24">
        <v>0</v>
      </c>
      <c r="AC332" s="24">
        <v>0</v>
      </c>
      <c r="AE332" s="24">
        <f t="shared" si="12"/>
        <v>63433.759999999995</v>
      </c>
      <c r="AF332" s="24"/>
      <c r="AG332" s="24">
        <v>574.97</v>
      </c>
      <c r="AH332" s="24"/>
      <c r="AI332" s="24">
        <v>97030.67</v>
      </c>
      <c r="AJ332" s="24"/>
      <c r="AK332" s="24">
        <v>97605.64</v>
      </c>
      <c r="AL332" s="24">
        <f>+'Gov Rev'!AI332-'Gov Exp'!AE332+'Gov Exp'!AI332-'Gov Exp'!AK332</f>
        <v>0</v>
      </c>
      <c r="AM332" s="15" t="str">
        <f>'Gov Rev'!A332</f>
        <v>Latty</v>
      </c>
      <c r="AN332" s="15" t="str">
        <f t="shared" si="13"/>
        <v>Latty</v>
      </c>
      <c r="AO332" s="15" t="b">
        <f t="shared" si="14"/>
        <v>1</v>
      </c>
    </row>
    <row r="333" spans="1:41" ht="12" customHeight="1" x14ac:dyDescent="0.2">
      <c r="A333" s="1" t="s">
        <v>162</v>
      </c>
      <c r="B333" s="1"/>
      <c r="C333" s="1" t="s">
        <v>784</v>
      </c>
      <c r="E333" s="24">
        <v>10014.040000000001</v>
      </c>
      <c r="G333" s="24">
        <v>0</v>
      </c>
      <c r="I333" s="24">
        <v>9874.84</v>
      </c>
      <c r="K333" s="24">
        <v>0</v>
      </c>
      <c r="M333" s="24">
        <v>2616.67</v>
      </c>
      <c r="O333" s="24">
        <v>6772</v>
      </c>
      <c r="Q333" s="24">
        <v>25225.119999999999</v>
      </c>
      <c r="S333" s="24">
        <v>0</v>
      </c>
      <c r="U333" s="24">
        <v>4643</v>
      </c>
      <c r="W333" s="24">
        <v>0</v>
      </c>
      <c r="Y333" s="24">
        <v>0</v>
      </c>
      <c r="AA333" s="24">
        <v>41.56</v>
      </c>
      <c r="AC333" s="24">
        <v>2742.15</v>
      </c>
      <c r="AE333" s="24">
        <f t="shared" si="12"/>
        <v>61929.38</v>
      </c>
      <c r="AF333" s="24"/>
      <c r="AG333" s="24">
        <v>9891.98</v>
      </c>
      <c r="AH333" s="24"/>
      <c r="AI333" s="24">
        <v>123116.72</v>
      </c>
      <c r="AJ333" s="24"/>
      <c r="AK333" s="24">
        <v>133008.70000000001</v>
      </c>
      <c r="AL333" s="24">
        <f>+'Gov Rev'!AI333-'Gov Exp'!AE333+'Gov Exp'!AI333-'Gov Exp'!AK333</f>
        <v>0</v>
      </c>
      <c r="AM333" s="15" t="str">
        <f>'Gov Rev'!A333</f>
        <v>Laura</v>
      </c>
      <c r="AN333" s="15" t="str">
        <f t="shared" si="13"/>
        <v>Laura</v>
      </c>
      <c r="AO333" s="15" t="b">
        <f t="shared" si="14"/>
        <v>1</v>
      </c>
    </row>
    <row r="334" spans="1:41" ht="12" customHeight="1" x14ac:dyDescent="0.2">
      <c r="A334" s="1" t="s">
        <v>111</v>
      </c>
      <c r="B334" s="1"/>
      <c r="C334" s="1" t="s">
        <v>768</v>
      </c>
      <c r="D334" s="28"/>
      <c r="E334" s="24">
        <v>166226.84</v>
      </c>
      <c r="G334" s="24">
        <v>0</v>
      </c>
      <c r="I334" s="24">
        <v>0</v>
      </c>
      <c r="K334" s="24">
        <v>0</v>
      </c>
      <c r="M334" s="24">
        <v>11758.69</v>
      </c>
      <c r="O334" s="24">
        <v>27292.5</v>
      </c>
      <c r="Q334" s="24">
        <v>33824.32</v>
      </c>
      <c r="S334" s="24">
        <v>0</v>
      </c>
      <c r="U334" s="24">
        <v>30451.14</v>
      </c>
      <c r="W334" s="24">
        <v>584.66</v>
      </c>
      <c r="Y334" s="24">
        <v>0</v>
      </c>
      <c r="AA334" s="24">
        <v>0</v>
      </c>
      <c r="AC334" s="24">
        <v>0</v>
      </c>
      <c r="AE334" s="24">
        <f t="shared" si="12"/>
        <v>270138.14999999997</v>
      </c>
      <c r="AF334" s="24"/>
      <c r="AG334" s="24">
        <v>61242.87</v>
      </c>
      <c r="AH334" s="24"/>
      <c r="AI334" s="24">
        <v>173069.27</v>
      </c>
      <c r="AJ334" s="24"/>
      <c r="AK334" s="24">
        <v>234312.14</v>
      </c>
      <c r="AL334" s="24">
        <f>+'Gov Rev'!AI334-'Gov Exp'!AE334+'Gov Exp'!AI334-'Gov Exp'!AK334</f>
        <v>0</v>
      </c>
      <c r="AM334" s="15" t="str">
        <f>'Gov Rev'!A334</f>
        <v>Laurelville</v>
      </c>
      <c r="AN334" s="15" t="str">
        <f t="shared" si="13"/>
        <v>Laurelville</v>
      </c>
      <c r="AO334" s="15" t="b">
        <f t="shared" si="14"/>
        <v>1</v>
      </c>
    </row>
    <row r="335" spans="1:41" ht="12" customHeight="1" x14ac:dyDescent="0.2">
      <c r="A335" s="1" t="s">
        <v>926</v>
      </c>
      <c r="B335" s="1"/>
      <c r="C335" s="1" t="s">
        <v>767</v>
      </c>
      <c r="E335" s="24">
        <v>254226.08</v>
      </c>
      <c r="G335" s="24">
        <v>0</v>
      </c>
      <c r="I335" s="24">
        <v>1306.18</v>
      </c>
      <c r="K335" s="24">
        <v>0</v>
      </c>
      <c r="M335" s="24">
        <v>20122.59</v>
      </c>
      <c r="O335" s="24">
        <v>66937.850000000006</v>
      </c>
      <c r="Q335" s="24">
        <v>158054.69</v>
      </c>
      <c r="S335" s="24">
        <v>9306.86</v>
      </c>
      <c r="U335" s="24">
        <v>0</v>
      </c>
      <c r="W335" s="24">
        <v>0</v>
      </c>
      <c r="Y335" s="24">
        <v>0</v>
      </c>
      <c r="AA335" s="24">
        <v>0</v>
      </c>
      <c r="AC335" s="24">
        <v>29256.06</v>
      </c>
      <c r="AE335" s="24">
        <f t="shared" si="12"/>
        <v>539210.30999999994</v>
      </c>
      <c r="AF335" s="24"/>
      <c r="AG335" s="24">
        <v>-21639.41</v>
      </c>
      <c r="AH335" s="24"/>
      <c r="AI335" s="24">
        <v>863479.53</v>
      </c>
      <c r="AJ335" s="24"/>
      <c r="AK335" s="24">
        <v>841840.12</v>
      </c>
      <c r="AL335" s="24">
        <f>+'Gov Rev'!AI335-'Gov Exp'!AE335+'Gov Exp'!AI335-'Gov Exp'!AK335</f>
        <v>0</v>
      </c>
      <c r="AM335" s="15" t="str">
        <f>'Gov Rev'!A335</f>
        <v>Leesburg</v>
      </c>
      <c r="AN335" s="15" t="str">
        <f t="shared" si="13"/>
        <v>Leesburg</v>
      </c>
      <c r="AO335" s="15" t="b">
        <f t="shared" si="14"/>
        <v>1</v>
      </c>
    </row>
    <row r="336" spans="1:41" ht="12" customHeight="1" x14ac:dyDescent="0.2">
      <c r="A336" s="1" t="s">
        <v>29</v>
      </c>
      <c r="B336" s="1"/>
      <c r="C336" s="1" t="s">
        <v>744</v>
      </c>
      <c r="E336" s="24">
        <v>5903.11</v>
      </c>
      <c r="G336" s="24">
        <v>1782.07</v>
      </c>
      <c r="I336" s="24">
        <v>455.84</v>
      </c>
      <c r="K336" s="24">
        <v>2456.9299999999998</v>
      </c>
      <c r="M336" s="24">
        <v>0</v>
      </c>
      <c r="O336" s="24">
        <v>2930.86</v>
      </c>
      <c r="Q336" s="24">
        <v>17106.259999999998</v>
      </c>
      <c r="S336" s="24">
        <v>0</v>
      </c>
      <c r="U336" s="24">
        <v>0</v>
      </c>
      <c r="W336" s="24">
        <v>0</v>
      </c>
      <c r="Y336" s="24">
        <v>0</v>
      </c>
      <c r="AA336" s="24">
        <v>0</v>
      </c>
      <c r="AC336" s="24">
        <v>0</v>
      </c>
      <c r="AE336" s="24">
        <f t="shared" si="12"/>
        <v>30635.07</v>
      </c>
      <c r="AF336" s="24"/>
      <c r="AG336" s="24">
        <v>7324.67</v>
      </c>
      <c r="AH336" s="24"/>
      <c r="AI336" s="24">
        <v>65479.72</v>
      </c>
      <c r="AJ336" s="24"/>
      <c r="AK336" s="24">
        <v>72804.39</v>
      </c>
      <c r="AL336" s="24">
        <f>+'Gov Rev'!AI336-'Gov Exp'!AE336+'Gov Exp'!AI336-'Gov Exp'!AK336</f>
        <v>0</v>
      </c>
      <c r="AM336" s="15" t="str">
        <f>'Gov Rev'!A336</f>
        <v>Leesville</v>
      </c>
      <c r="AN336" s="15" t="str">
        <f t="shared" si="13"/>
        <v>Leesville</v>
      </c>
      <c r="AO336" s="15" t="b">
        <f t="shared" si="14"/>
        <v>1</v>
      </c>
    </row>
    <row r="337" spans="1:41" ht="12" customHeight="1" x14ac:dyDescent="0.2">
      <c r="A337" s="1" t="s">
        <v>43</v>
      </c>
      <c r="B337" s="1"/>
      <c r="C337" s="1" t="s">
        <v>749</v>
      </c>
      <c r="D337" s="28"/>
      <c r="E337" s="24">
        <v>564447.30000000005</v>
      </c>
      <c r="G337" s="24">
        <v>56308.959999999999</v>
      </c>
      <c r="I337" s="24">
        <v>11101.92</v>
      </c>
      <c r="K337" s="24">
        <v>14750.84</v>
      </c>
      <c r="M337" s="24">
        <v>0</v>
      </c>
      <c r="O337" s="24">
        <v>137381.46</v>
      </c>
      <c r="Q337" s="24">
        <v>192476.77</v>
      </c>
      <c r="S337" s="24">
        <v>66820.960000000006</v>
      </c>
      <c r="U337" s="24">
        <v>87898.11</v>
      </c>
      <c r="W337" s="24">
        <v>4522.4399999999996</v>
      </c>
      <c r="Y337" s="24">
        <v>554706.81999999995</v>
      </c>
      <c r="AA337" s="24">
        <v>18322.45</v>
      </c>
      <c r="AC337" s="24">
        <v>0</v>
      </c>
      <c r="AE337" s="24">
        <f t="shared" si="12"/>
        <v>1708738.03</v>
      </c>
      <c r="AF337" s="24"/>
      <c r="AG337" s="24">
        <v>97178.67</v>
      </c>
      <c r="AH337" s="24"/>
      <c r="AI337" s="24">
        <v>451563.27</v>
      </c>
      <c r="AJ337" s="24"/>
      <c r="AK337" s="24">
        <v>548741.93999999994</v>
      </c>
      <c r="AL337" s="24">
        <f>+'Gov Rev'!AI337-'Gov Exp'!AE337+'Gov Exp'!AI337-'Gov Exp'!AK337</f>
        <v>0</v>
      </c>
      <c r="AM337" s="15" t="str">
        <f>'Gov Rev'!A337</f>
        <v>Leetonia</v>
      </c>
      <c r="AN337" s="15" t="str">
        <f t="shared" si="13"/>
        <v>Leetonia</v>
      </c>
      <c r="AO337" s="15" t="b">
        <f t="shared" si="14"/>
        <v>1</v>
      </c>
    </row>
    <row r="338" spans="1:41" ht="12" customHeight="1" x14ac:dyDescent="0.2">
      <c r="A338" s="15" t="s">
        <v>890</v>
      </c>
      <c r="C338" s="15" t="s">
        <v>513</v>
      </c>
      <c r="E338" s="24">
        <v>502571</v>
      </c>
      <c r="G338" s="24">
        <v>0</v>
      </c>
      <c r="I338" s="24">
        <v>46729</v>
      </c>
      <c r="K338" s="24">
        <v>52216</v>
      </c>
      <c r="M338" s="24">
        <v>529824</v>
      </c>
      <c r="O338" s="24">
        <v>1855</v>
      </c>
      <c r="Q338" s="24">
        <f>3215-1</f>
        <v>3214</v>
      </c>
      <c r="S338" s="24">
        <v>3656448</v>
      </c>
      <c r="U338" s="24">
        <v>405663</v>
      </c>
      <c r="W338" s="24">
        <v>0</v>
      </c>
      <c r="Y338" s="24">
        <v>2382850</v>
      </c>
      <c r="AA338" s="24">
        <v>0</v>
      </c>
      <c r="AC338" s="24">
        <v>0</v>
      </c>
      <c r="AE338" s="24">
        <f t="shared" si="12"/>
        <v>7581370</v>
      </c>
      <c r="AF338" s="24"/>
      <c r="AG338" s="24">
        <v>-1024947</v>
      </c>
      <c r="AH338" s="24"/>
      <c r="AI338" s="24">
        <v>2300199</v>
      </c>
      <c r="AJ338" s="24"/>
      <c r="AK338" s="24">
        <v>1275253</v>
      </c>
      <c r="AL338" s="24">
        <f>+'Gov Rev'!AI338-'Gov Exp'!AE338+'Gov Exp'!AI338-'Gov Exp'!AK338</f>
        <v>0</v>
      </c>
      <c r="AM338" s="15" t="str">
        <f>'Gov Rev'!A338</f>
        <v>Leipsic</v>
      </c>
      <c r="AN338" s="15" t="str">
        <f t="shared" si="13"/>
        <v>Leipsic</v>
      </c>
      <c r="AO338" s="15" t="b">
        <f t="shared" si="14"/>
        <v>1</v>
      </c>
    </row>
    <row r="339" spans="1:41" ht="12" customHeight="1" x14ac:dyDescent="0.2">
      <c r="A339" s="15" t="s">
        <v>508</v>
      </c>
      <c r="C339" s="15" t="s">
        <v>509</v>
      </c>
      <c r="E339" s="24">
        <v>765945</v>
      </c>
      <c r="G339" s="24">
        <v>0</v>
      </c>
      <c r="I339" s="24">
        <v>35949</v>
      </c>
      <c r="K339" s="24">
        <v>8025</v>
      </c>
      <c r="M339" s="24">
        <v>0</v>
      </c>
      <c r="O339" s="24">
        <v>142427</v>
      </c>
      <c r="Q339" s="24">
        <v>279211</v>
      </c>
      <c r="S339" s="24">
        <v>330557</v>
      </c>
      <c r="U339" s="24">
        <v>77684</v>
      </c>
      <c r="W339" s="24">
        <v>11328</v>
      </c>
      <c r="Y339" s="24">
        <v>401436</v>
      </c>
      <c r="AA339" s="24">
        <v>0</v>
      </c>
      <c r="AC339" s="24">
        <v>0</v>
      </c>
      <c r="AE339" s="24">
        <f t="shared" ref="AE339:AE405" si="15">SUM(E339:AC339)</f>
        <v>2052562</v>
      </c>
      <c r="AF339" s="24"/>
      <c r="AG339" s="24">
        <v>-120725</v>
      </c>
      <c r="AH339" s="24"/>
      <c r="AI339" s="24">
        <v>965880</v>
      </c>
      <c r="AJ339" s="24"/>
      <c r="AK339" s="24">
        <v>845155</v>
      </c>
      <c r="AL339" s="24">
        <f>+'Gov Rev'!AI339-'Gov Exp'!AE339+'Gov Exp'!AI339-'Gov Exp'!AK339</f>
        <v>0</v>
      </c>
      <c r="AM339" s="15" t="str">
        <f>'Gov Rev'!A339</f>
        <v>Lewisburg</v>
      </c>
      <c r="AN339" s="15" t="str">
        <f t="shared" ref="AN339:AN405" si="16">A339</f>
        <v>Lewisburg</v>
      </c>
      <c r="AO339" s="15" t="b">
        <f t="shared" ref="AO339:AO405" si="17">AM339=AN339</f>
        <v>1</v>
      </c>
    </row>
    <row r="340" spans="1:41" ht="12" customHeight="1" x14ac:dyDescent="0.2">
      <c r="A340" s="1" t="s">
        <v>165</v>
      </c>
      <c r="B340" s="1"/>
      <c r="C340" s="1" t="s">
        <v>785</v>
      </c>
      <c r="E340" s="24">
        <v>4965.1099999999997</v>
      </c>
      <c r="G340" s="24">
        <v>0</v>
      </c>
      <c r="I340" s="24">
        <v>0</v>
      </c>
      <c r="K340" s="24">
        <v>2587.83</v>
      </c>
      <c r="M340" s="24">
        <v>2602.7600000000002</v>
      </c>
      <c r="O340" s="24">
        <v>2736.83</v>
      </c>
      <c r="Q340" s="24">
        <v>5289</v>
      </c>
      <c r="S340" s="24">
        <v>250</v>
      </c>
      <c r="U340" s="24">
        <v>0</v>
      </c>
      <c r="W340" s="24">
        <v>0</v>
      </c>
      <c r="Y340" s="24">
        <v>0</v>
      </c>
      <c r="AA340" s="24">
        <v>0</v>
      </c>
      <c r="AC340" s="24">
        <v>0</v>
      </c>
      <c r="AE340" s="24">
        <f t="shared" si="15"/>
        <v>18431.53</v>
      </c>
      <c r="AF340" s="24"/>
      <c r="AG340" s="24">
        <v>13161.71</v>
      </c>
      <c r="AH340" s="24"/>
      <c r="AI340" s="24">
        <v>18999.23</v>
      </c>
      <c r="AJ340" s="24"/>
      <c r="AK340" s="24">
        <v>32160.94</v>
      </c>
      <c r="AL340" s="24">
        <f>+'Gov Rev'!AI340-'Gov Exp'!AE340+'Gov Exp'!AI340-'Gov Exp'!AK340</f>
        <v>0</v>
      </c>
      <c r="AM340" s="15" t="str">
        <f>'Gov Rev'!A340</f>
        <v>Lewisville</v>
      </c>
      <c r="AN340" s="15" t="str">
        <f t="shared" si="16"/>
        <v>Lewisville</v>
      </c>
      <c r="AO340" s="15" t="b">
        <f t="shared" si="17"/>
        <v>1</v>
      </c>
    </row>
    <row r="341" spans="1:41" ht="12" customHeight="1" x14ac:dyDescent="0.2">
      <c r="A341" s="15" t="s">
        <v>520</v>
      </c>
      <c r="C341" s="15" t="s">
        <v>519</v>
      </c>
      <c r="E341" s="24">
        <v>1177501</v>
      </c>
      <c r="G341" s="24">
        <v>0</v>
      </c>
      <c r="I341" s="24">
        <v>555047</v>
      </c>
      <c r="K341" s="24">
        <v>32479</v>
      </c>
      <c r="M341" s="24">
        <v>0</v>
      </c>
      <c r="O341" s="24">
        <v>652455</v>
      </c>
      <c r="Q341" s="24">
        <v>955129</v>
      </c>
      <c r="S341" s="24">
        <v>0</v>
      </c>
      <c r="U341" s="24">
        <v>31464</v>
      </c>
      <c r="W341" s="24">
        <v>0</v>
      </c>
      <c r="Y341" s="24">
        <v>0</v>
      </c>
      <c r="AA341" s="24">
        <v>0</v>
      </c>
      <c r="AC341" s="24">
        <v>391875</v>
      </c>
      <c r="AE341" s="24">
        <f t="shared" si="15"/>
        <v>3795950</v>
      </c>
      <c r="AF341" s="24"/>
      <c r="AG341" s="24">
        <v>-246028</v>
      </c>
      <c r="AH341" s="24"/>
      <c r="AI341" s="24">
        <v>798382</v>
      </c>
      <c r="AJ341" s="24"/>
      <c r="AK341" s="24">
        <f>AI341+AG341</f>
        <v>552354</v>
      </c>
      <c r="AL341" s="24">
        <f>+'Gov Rev'!AI341-'Gov Exp'!AE341+'Gov Exp'!AI341-'Gov Exp'!AK341</f>
        <v>0</v>
      </c>
      <c r="AM341" s="15" t="str">
        <f>'Gov Rev'!A341</f>
        <v>Lexington</v>
      </c>
      <c r="AN341" s="15" t="str">
        <f t="shared" si="16"/>
        <v>Lexington</v>
      </c>
      <c r="AO341" s="15" t="b">
        <f t="shared" si="17"/>
        <v>1</v>
      </c>
    </row>
    <row r="342" spans="1:41" ht="12" customHeight="1" x14ac:dyDescent="0.2">
      <c r="A342" s="1" t="s">
        <v>106</v>
      </c>
      <c r="B342" s="1"/>
      <c r="C342" s="1" t="s">
        <v>766</v>
      </c>
      <c r="E342" s="24">
        <v>60902.11</v>
      </c>
      <c r="G342" s="24">
        <v>10623.64</v>
      </c>
      <c r="I342" s="24">
        <v>22259.18</v>
      </c>
      <c r="K342" s="24">
        <v>5360.29</v>
      </c>
      <c r="M342" s="24">
        <v>21071.47</v>
      </c>
      <c r="O342" s="24">
        <v>65146.04</v>
      </c>
      <c r="Q342" s="24">
        <v>133273.54999999999</v>
      </c>
      <c r="S342" s="24">
        <v>203583.47</v>
      </c>
      <c r="U342" s="24">
        <v>5027.5200000000004</v>
      </c>
      <c r="W342" s="24">
        <v>0</v>
      </c>
      <c r="Y342" s="24">
        <v>4109.5200000000004</v>
      </c>
      <c r="AA342" s="24">
        <v>0</v>
      </c>
      <c r="AC342" s="24">
        <v>0</v>
      </c>
      <c r="AE342" s="24">
        <f t="shared" si="15"/>
        <v>531356.79</v>
      </c>
      <c r="AF342" s="24"/>
      <c r="AG342" s="24">
        <v>-23207.59</v>
      </c>
      <c r="AH342" s="24"/>
      <c r="AI342" s="24">
        <v>291884.7</v>
      </c>
      <c r="AJ342" s="24"/>
      <c r="AK342" s="24">
        <v>268677.11</v>
      </c>
      <c r="AL342" s="24">
        <f>+'Gov Rev'!AI342-'Gov Exp'!AE342+'Gov Exp'!AI342-'Gov Exp'!AK342</f>
        <v>0</v>
      </c>
      <c r="AM342" s="15" t="str">
        <f>'Gov Rev'!A342</f>
        <v>Liberty Center</v>
      </c>
      <c r="AN342" s="15" t="str">
        <f t="shared" si="16"/>
        <v>Liberty Center</v>
      </c>
      <c r="AO342" s="15" t="b">
        <f t="shared" si="17"/>
        <v>1</v>
      </c>
    </row>
    <row r="343" spans="1:41" ht="12" hidden="1" customHeight="1" x14ac:dyDescent="0.2">
      <c r="A343" s="1" t="s">
        <v>226</v>
      </c>
      <c r="B343" s="1"/>
      <c r="C343" s="1" t="s">
        <v>540</v>
      </c>
      <c r="AE343" s="24">
        <f t="shared" si="15"/>
        <v>0</v>
      </c>
      <c r="AF343" s="24"/>
      <c r="AG343" s="24"/>
      <c r="AH343" s="24"/>
      <c r="AI343" s="24"/>
      <c r="AJ343" s="24"/>
      <c r="AK343" s="24"/>
      <c r="AL343" s="24">
        <f>+'Gov Rev'!AI343-'Gov Exp'!AE343+'Gov Exp'!AI343-'Gov Exp'!AK343</f>
        <v>0</v>
      </c>
      <c r="AM343" s="15" t="str">
        <f>'Gov Rev'!A343</f>
        <v>Limaville</v>
      </c>
      <c r="AN343" s="15" t="str">
        <f t="shared" si="16"/>
        <v>Limaville</v>
      </c>
      <c r="AO343" s="15" t="b">
        <f t="shared" si="17"/>
        <v>1</v>
      </c>
    </row>
    <row r="344" spans="1:41" ht="12" customHeight="1" x14ac:dyDescent="0.2">
      <c r="A344" s="15" t="s">
        <v>383</v>
      </c>
      <c r="C344" s="15" t="s">
        <v>378</v>
      </c>
      <c r="E344" s="24">
        <v>1225969</v>
      </c>
      <c r="G344" s="24">
        <v>1583</v>
      </c>
      <c r="I344" s="24">
        <v>18844</v>
      </c>
      <c r="K344" s="24">
        <v>41335</v>
      </c>
      <c r="M344" s="24">
        <v>146256</v>
      </c>
      <c r="O344" s="24">
        <v>150825</v>
      </c>
      <c r="Q344" s="24">
        <v>827556</v>
      </c>
      <c r="S344" s="24">
        <v>182868</v>
      </c>
      <c r="U344" s="24">
        <v>0</v>
      </c>
      <c r="W344" s="24">
        <v>0</v>
      </c>
      <c r="Y344" s="24">
        <v>241590</v>
      </c>
      <c r="AA344" s="24">
        <v>0</v>
      </c>
      <c r="AC344" s="24">
        <v>0</v>
      </c>
      <c r="AE344" s="24">
        <f t="shared" si="15"/>
        <v>2836826</v>
      </c>
      <c r="AF344" s="24"/>
      <c r="AG344" s="24">
        <v>-496739</v>
      </c>
      <c r="AH344" s="24"/>
      <c r="AI344" s="24">
        <v>1079216</v>
      </c>
      <c r="AJ344" s="24"/>
      <c r="AK344" s="24">
        <v>582477</v>
      </c>
      <c r="AL344" s="24">
        <f>+'Gov Rev'!AI344-'Gov Exp'!AE344+'Gov Exp'!AI344-'Gov Exp'!AK344</f>
        <v>0</v>
      </c>
      <c r="AM344" s="15" t="str">
        <f>'Gov Rev'!A344</f>
        <v>Lincoln Heights</v>
      </c>
      <c r="AN344" s="15" t="str">
        <f t="shared" si="16"/>
        <v>Lincoln Heights</v>
      </c>
      <c r="AO344" s="15" t="b">
        <f t="shared" si="17"/>
        <v>1</v>
      </c>
    </row>
    <row r="345" spans="1:41" ht="12" customHeight="1" x14ac:dyDescent="0.2">
      <c r="A345" s="1" t="s">
        <v>215</v>
      </c>
      <c r="B345" s="1"/>
      <c r="C345" s="1" t="s">
        <v>800</v>
      </c>
      <c r="D345" s="28"/>
      <c r="E345" s="24">
        <v>66456.56</v>
      </c>
      <c r="G345" s="24">
        <v>279.14</v>
      </c>
      <c r="I345" s="24">
        <v>10867.68</v>
      </c>
      <c r="K345" s="24">
        <v>4537.37</v>
      </c>
      <c r="M345" s="24">
        <v>1968.89</v>
      </c>
      <c r="O345" s="24">
        <v>15096.47</v>
      </c>
      <c r="Q345" s="24">
        <v>46334.71</v>
      </c>
      <c r="S345" s="24">
        <v>0</v>
      </c>
      <c r="U345" s="24">
        <v>0</v>
      </c>
      <c r="W345" s="24">
        <v>0</v>
      </c>
      <c r="Y345" s="24">
        <v>0</v>
      </c>
      <c r="AA345" s="24">
        <v>0</v>
      </c>
      <c r="AC345" s="24">
        <v>0</v>
      </c>
      <c r="AE345" s="24">
        <f t="shared" si="15"/>
        <v>145540.82</v>
      </c>
      <c r="AF345" s="24"/>
      <c r="AG345" s="24">
        <v>62660.26</v>
      </c>
      <c r="AH345" s="24"/>
      <c r="AI345" s="24">
        <v>544203.68000000005</v>
      </c>
      <c r="AJ345" s="24"/>
      <c r="AK345" s="24">
        <v>606863.93999999994</v>
      </c>
      <c r="AL345" s="24">
        <f>+'Gov Rev'!AI345-'Gov Exp'!AE345+'Gov Exp'!AI345-'Gov Exp'!AK345</f>
        <v>0</v>
      </c>
      <c r="AM345" s="15" t="str">
        <f>'Gov Rev'!A345</f>
        <v>Lindsey</v>
      </c>
      <c r="AN345" s="15" t="str">
        <f t="shared" si="16"/>
        <v>Lindsey</v>
      </c>
      <c r="AO345" s="15" t="b">
        <f t="shared" si="17"/>
        <v>1</v>
      </c>
    </row>
    <row r="346" spans="1:41" ht="12" customHeight="1" x14ac:dyDescent="0.2">
      <c r="A346" s="1" t="s">
        <v>833</v>
      </c>
      <c r="B346" s="1"/>
      <c r="C346" s="1" t="s">
        <v>751</v>
      </c>
      <c r="E346" s="24">
        <v>713949.63</v>
      </c>
      <c r="G346" s="24">
        <v>0</v>
      </c>
      <c r="I346" s="24">
        <v>208.08</v>
      </c>
      <c r="K346" s="24">
        <v>26786.67</v>
      </c>
      <c r="M346" s="24">
        <v>6240</v>
      </c>
      <c r="O346" s="24">
        <v>25418.15</v>
      </c>
      <c r="Q346" s="24">
        <v>360812.26</v>
      </c>
      <c r="S346" s="24">
        <v>35009.379999999997</v>
      </c>
      <c r="U346" s="24">
        <v>0</v>
      </c>
      <c r="W346" s="24">
        <v>0</v>
      </c>
      <c r="Y346" s="24">
        <v>3000</v>
      </c>
      <c r="AA346" s="24">
        <v>100487.67999999999</v>
      </c>
      <c r="AC346" s="24">
        <v>0</v>
      </c>
      <c r="AE346" s="24">
        <f t="shared" si="15"/>
        <v>1271911.8499999999</v>
      </c>
      <c r="AF346" s="24"/>
      <c r="AG346" s="24">
        <v>-12290.04</v>
      </c>
      <c r="AH346" s="24"/>
      <c r="AI346" s="24">
        <v>372642.1</v>
      </c>
      <c r="AJ346" s="24"/>
      <c r="AK346" s="24">
        <v>360352.06</v>
      </c>
      <c r="AL346" s="24">
        <f>+'Gov Rev'!AI346-'Gov Exp'!AE346+'Gov Exp'!AI346-'Gov Exp'!AK346</f>
        <v>0</v>
      </c>
      <c r="AM346" s="15" t="str">
        <f>'Gov Rev'!A346</f>
        <v>Linndale</v>
      </c>
      <c r="AN346" s="15" t="str">
        <f t="shared" si="16"/>
        <v>Linndale</v>
      </c>
      <c r="AO346" s="15" t="b">
        <f t="shared" si="17"/>
        <v>1</v>
      </c>
    </row>
    <row r="347" spans="1:41" ht="12" customHeight="1" x14ac:dyDescent="0.2">
      <c r="A347" s="1" t="s">
        <v>44</v>
      </c>
      <c r="B347" s="1"/>
      <c r="C347" s="1" t="s">
        <v>749</v>
      </c>
      <c r="E347" s="24">
        <v>742994.11</v>
      </c>
      <c r="G347" s="24">
        <v>145879.66</v>
      </c>
      <c r="I347" s="24">
        <v>7242.72</v>
      </c>
      <c r="K347" s="24">
        <v>24450.21</v>
      </c>
      <c r="M347" s="24">
        <v>0</v>
      </c>
      <c r="O347" s="24">
        <v>277279.3</v>
      </c>
      <c r="Q347" s="24">
        <v>287979.15000000002</v>
      </c>
      <c r="S347" s="24">
        <v>20562.78</v>
      </c>
      <c r="U347" s="24">
        <v>78461.039999999994</v>
      </c>
      <c r="W347" s="24">
        <v>45027.02</v>
      </c>
      <c r="Y347" s="24">
        <v>283810.57</v>
      </c>
      <c r="AA347" s="24">
        <v>32000</v>
      </c>
      <c r="AC347" s="24">
        <v>0</v>
      </c>
      <c r="AE347" s="24">
        <f t="shared" si="15"/>
        <v>1945686.56</v>
      </c>
      <c r="AF347" s="24"/>
      <c r="AG347" s="24">
        <v>-19387.34</v>
      </c>
      <c r="AH347" s="24"/>
      <c r="AI347" s="24">
        <v>419006.66</v>
      </c>
      <c r="AJ347" s="24"/>
      <c r="AK347" s="24">
        <v>399619.32</v>
      </c>
      <c r="AL347" s="24">
        <f>+'Gov Rev'!AI347-'Gov Exp'!AE347+'Gov Exp'!AI347-'Gov Exp'!AK347</f>
        <v>0</v>
      </c>
      <c r="AM347" s="15" t="str">
        <f>'Gov Rev'!A347</f>
        <v>Lisbon</v>
      </c>
      <c r="AN347" s="15" t="str">
        <f t="shared" si="16"/>
        <v>Lisbon</v>
      </c>
      <c r="AO347" s="15" t="b">
        <f t="shared" si="17"/>
        <v>1</v>
      </c>
    </row>
    <row r="348" spans="1:41" ht="12" customHeight="1" x14ac:dyDescent="0.2">
      <c r="A348" s="1" t="s">
        <v>912</v>
      </c>
      <c r="B348" s="1"/>
      <c r="C348" s="1" t="s">
        <v>350</v>
      </c>
      <c r="E348" s="24">
        <v>197039.35</v>
      </c>
      <c r="G348" s="24">
        <v>268.5</v>
      </c>
      <c r="I348" s="24">
        <v>7965</v>
      </c>
      <c r="K348" s="24">
        <v>21776.2</v>
      </c>
      <c r="M348" s="24">
        <v>105939.75</v>
      </c>
      <c r="O348" s="24">
        <v>39935.15</v>
      </c>
      <c r="Q348" s="24">
        <v>267785.90999999997</v>
      </c>
      <c r="S348" s="24">
        <v>0</v>
      </c>
      <c r="U348" s="24">
        <v>0</v>
      </c>
      <c r="W348" s="24">
        <v>0</v>
      </c>
      <c r="Y348" s="24">
        <v>0</v>
      </c>
      <c r="AA348" s="24">
        <v>35000</v>
      </c>
      <c r="AC348" s="24">
        <v>1844.89</v>
      </c>
      <c r="AE348" s="24">
        <f t="shared" si="15"/>
        <v>677554.75000000012</v>
      </c>
      <c r="AF348" s="24"/>
      <c r="AG348" s="24">
        <v>75753.42</v>
      </c>
      <c r="AH348" s="24"/>
      <c r="AI348" s="24">
        <v>52928.74</v>
      </c>
      <c r="AJ348" s="24"/>
      <c r="AK348" s="24">
        <v>128682.16</v>
      </c>
      <c r="AL348" s="24">
        <f>+'Gov Rev'!AI348-'Gov Exp'!AE348+'Gov Exp'!AI348-'Gov Exp'!AK348</f>
        <v>-2.0372681319713593E-10</v>
      </c>
      <c r="AM348" s="15" t="str">
        <f>'Gov Rev'!A348</f>
        <v>Lithopolis</v>
      </c>
      <c r="AN348" s="15" t="str">
        <f t="shared" si="16"/>
        <v>Lithopolis</v>
      </c>
      <c r="AO348" s="15" t="b">
        <f t="shared" si="17"/>
        <v>1</v>
      </c>
    </row>
    <row r="349" spans="1:41" ht="12" customHeight="1" x14ac:dyDescent="0.2">
      <c r="A349" s="1" t="s">
        <v>927</v>
      </c>
      <c r="B349" s="1"/>
      <c r="C349" s="1" t="s">
        <v>758</v>
      </c>
      <c r="D349" s="68"/>
      <c r="E349" s="24">
        <v>1691</v>
      </c>
      <c r="G349" s="24">
        <v>0</v>
      </c>
      <c r="I349" s="24">
        <v>16916.47</v>
      </c>
      <c r="K349" s="24">
        <v>393.83</v>
      </c>
      <c r="M349" s="24">
        <v>20180.400000000001</v>
      </c>
      <c r="O349" s="24">
        <v>13317.59</v>
      </c>
      <c r="Q349" s="24">
        <v>106663.94</v>
      </c>
      <c r="S349" s="24">
        <v>0</v>
      </c>
      <c r="U349" s="24">
        <v>4839.4399999999996</v>
      </c>
      <c r="W349" s="24">
        <v>0</v>
      </c>
      <c r="Y349" s="24">
        <v>0</v>
      </c>
      <c r="AA349" s="24">
        <v>0</v>
      </c>
      <c r="AC349" s="24">
        <v>0</v>
      </c>
      <c r="AE349" s="24">
        <f t="shared" si="15"/>
        <v>164002.67000000001</v>
      </c>
      <c r="AF349" s="24"/>
      <c r="AG349" s="24">
        <v>-48065.58</v>
      </c>
      <c r="AH349" s="24"/>
      <c r="AI349" s="24">
        <v>461189.64</v>
      </c>
      <c r="AJ349" s="24"/>
      <c r="AK349" s="24">
        <v>413124.06</v>
      </c>
      <c r="AL349" s="24">
        <f>+'Gov Rev'!AI349-'Gov Exp'!AE349+'Gov Exp'!AI349-'Gov Exp'!AK349</f>
        <v>0</v>
      </c>
      <c r="AM349" s="15" t="str">
        <f>'Gov Rev'!A349</f>
        <v>Lockbourne</v>
      </c>
      <c r="AN349" s="15" t="str">
        <f t="shared" si="16"/>
        <v>Lockbourne</v>
      </c>
      <c r="AO349" s="15" t="b">
        <f t="shared" si="17"/>
        <v>1</v>
      </c>
    </row>
    <row r="350" spans="1:41" ht="12" customHeight="1" x14ac:dyDescent="0.2">
      <c r="A350" s="15" t="s">
        <v>537</v>
      </c>
      <c r="C350" s="15" t="s">
        <v>536</v>
      </c>
      <c r="E350" s="24">
        <v>4590</v>
      </c>
      <c r="G350" s="24">
        <f>112+2798</f>
        <v>2910</v>
      </c>
      <c r="I350" s="24">
        <v>3095</v>
      </c>
      <c r="K350" s="24">
        <v>2786</v>
      </c>
      <c r="M350" s="24">
        <v>415</v>
      </c>
      <c r="O350" s="24">
        <v>3611</v>
      </c>
      <c r="Q350" s="24">
        <f>13006+424</f>
        <v>13430</v>
      </c>
      <c r="S350" s="24">
        <v>0</v>
      </c>
      <c r="U350" s="24">
        <f>1886+1886</f>
        <v>3772</v>
      </c>
      <c r="W350" s="24">
        <v>0</v>
      </c>
      <c r="Y350" s="24">
        <v>1886</v>
      </c>
      <c r="AA350" s="24">
        <v>0</v>
      </c>
      <c r="AC350" s="24">
        <v>0</v>
      </c>
      <c r="AE350" s="24">
        <f t="shared" si="15"/>
        <v>36495</v>
      </c>
      <c r="AF350" s="24"/>
      <c r="AG350" s="24">
        <f>34566-34609</f>
        <v>-43</v>
      </c>
      <c r="AH350" s="24"/>
      <c r="AI350" s="24">
        <f>AK350-AG350</f>
        <v>54429</v>
      </c>
      <c r="AJ350" s="24"/>
      <c r="AK350" s="24">
        <v>54386</v>
      </c>
      <c r="AL350" s="24">
        <f>+'Gov Rev'!AI350-'Gov Exp'!AE350+'Gov Exp'!AI350-'Gov Exp'!AK350</f>
        <v>0</v>
      </c>
      <c r="AM350" s="15" t="str">
        <f>'Gov Rev'!A350</f>
        <v xml:space="preserve">Lockington </v>
      </c>
      <c r="AN350" s="15" t="str">
        <f t="shared" si="16"/>
        <v xml:space="preserve">Lockington </v>
      </c>
      <c r="AO350" s="15" t="b">
        <f t="shared" si="17"/>
        <v>1</v>
      </c>
    </row>
    <row r="351" spans="1:41" ht="12" customHeight="1" x14ac:dyDescent="0.2">
      <c r="A351" s="1" t="s">
        <v>95</v>
      </c>
      <c r="B351" s="1"/>
      <c r="C351" s="1" t="s">
        <v>763</v>
      </c>
      <c r="E351" s="24">
        <v>2424875.92</v>
      </c>
      <c r="G351" s="24">
        <v>29099.22</v>
      </c>
      <c r="I351" s="24">
        <v>79191.289999999994</v>
      </c>
      <c r="K351" s="24">
        <v>65447.98</v>
      </c>
      <c r="M351" s="24">
        <v>1585077.23</v>
      </c>
      <c r="O351" s="24">
        <v>387043.19</v>
      </c>
      <c r="Q351" s="24">
        <v>654737.11</v>
      </c>
      <c r="S351" s="24">
        <v>45095</v>
      </c>
      <c r="U351" s="24">
        <v>36338.75</v>
      </c>
      <c r="W351" s="24">
        <v>96697.16</v>
      </c>
      <c r="Y351" s="24">
        <v>507625.03</v>
      </c>
      <c r="AA351" s="24">
        <v>97730.78</v>
      </c>
      <c r="AC351" s="24">
        <v>64313.919999999998</v>
      </c>
      <c r="AE351" s="24">
        <f t="shared" si="15"/>
        <v>6073272.580000001</v>
      </c>
      <c r="AF351" s="24"/>
      <c r="AG351" s="24">
        <v>149372.18</v>
      </c>
      <c r="AH351" s="24"/>
      <c r="AI351" s="24">
        <v>1101580.1000000001</v>
      </c>
      <c r="AJ351" s="24"/>
      <c r="AK351" s="24">
        <v>1250952.28</v>
      </c>
      <c r="AL351" s="24">
        <f>+'Gov Rev'!AI351-'Gov Exp'!AE351+'Gov Exp'!AI351-'Gov Exp'!AK351</f>
        <v>0</v>
      </c>
      <c r="AM351" s="15" t="str">
        <f>'Gov Rev'!A351</f>
        <v>Lockland</v>
      </c>
      <c r="AN351" s="15" t="str">
        <f t="shared" si="16"/>
        <v>Lockland</v>
      </c>
      <c r="AO351" s="15" t="b">
        <f t="shared" si="17"/>
        <v>1</v>
      </c>
    </row>
    <row r="352" spans="1:41" ht="12" customHeight="1" x14ac:dyDescent="0.2">
      <c r="A352" s="15" t="s">
        <v>948</v>
      </c>
      <c r="C352" s="15" t="s">
        <v>949</v>
      </c>
      <c r="D352" s="28"/>
      <c r="E352" s="24">
        <f>659541+934</f>
        <v>660475</v>
      </c>
      <c r="G352" s="24">
        <v>0</v>
      </c>
      <c r="I352" s="24">
        <v>11001</v>
      </c>
      <c r="K352" s="24">
        <v>8389</v>
      </c>
      <c r="M352" s="24">
        <v>0</v>
      </c>
      <c r="O352" s="24">
        <f>12302+154773</f>
        <v>167075</v>
      </c>
      <c r="Q352" s="24">
        <f>229925+1039+81</f>
        <v>231045</v>
      </c>
      <c r="S352" s="24">
        <f>10670+57212</f>
        <v>67882</v>
      </c>
      <c r="U352" s="24">
        <v>1420</v>
      </c>
      <c r="W352" s="24">
        <v>0</v>
      </c>
      <c r="Y352" s="24">
        <v>0</v>
      </c>
      <c r="AA352" s="24">
        <v>0</v>
      </c>
      <c r="AC352" s="24">
        <v>0</v>
      </c>
      <c r="AE352" s="24">
        <f t="shared" si="15"/>
        <v>1147287</v>
      </c>
      <c r="AF352" s="24"/>
      <c r="AG352" s="24">
        <f>12511-20277-49505</f>
        <v>-57271</v>
      </c>
      <c r="AH352" s="24"/>
      <c r="AI352" s="24">
        <f>235516+256734+16981+134249</f>
        <v>643480</v>
      </c>
      <c r="AJ352" s="24"/>
      <c r="AK352" s="24">
        <f>248027+236457+16981+84743</f>
        <v>586208</v>
      </c>
      <c r="AL352" s="24">
        <f>+'Gov Rev'!AI352-'Gov Exp'!AE352+'Gov Exp'!AI352-'Gov Exp'!AK352</f>
        <v>0</v>
      </c>
      <c r="AM352" s="15" t="str">
        <f>'Gov Rev'!A352</f>
        <v>Lodi</v>
      </c>
      <c r="AN352" s="15" t="str">
        <f t="shared" si="16"/>
        <v>Lodi</v>
      </c>
      <c r="AO352" s="15" t="b">
        <f t="shared" si="17"/>
        <v>1</v>
      </c>
    </row>
    <row r="353" spans="1:41" ht="12" customHeight="1" x14ac:dyDescent="0.2">
      <c r="A353" s="15" t="s">
        <v>555</v>
      </c>
      <c r="C353" s="15" t="s">
        <v>556</v>
      </c>
      <c r="E353" s="24">
        <v>1522440</v>
      </c>
      <c r="G353" s="24">
        <v>29516</v>
      </c>
      <c r="I353" s="24">
        <v>198616</v>
      </c>
      <c r="K353" s="24">
        <v>196985</v>
      </c>
      <c r="M353" s="24">
        <v>0</v>
      </c>
      <c r="O353" s="24">
        <v>740950</v>
      </c>
      <c r="Q353" s="24">
        <v>1417187</v>
      </c>
      <c r="S353" s="24">
        <v>0</v>
      </c>
      <c r="U353" s="24">
        <v>597578</v>
      </c>
      <c r="W353" s="24">
        <v>254623</v>
      </c>
      <c r="Y353" s="24">
        <v>202452</v>
      </c>
      <c r="AA353" s="24">
        <v>0</v>
      </c>
      <c r="AC353" s="24">
        <v>0</v>
      </c>
      <c r="AE353" s="24">
        <f t="shared" si="15"/>
        <v>5160347</v>
      </c>
      <c r="AF353" s="24"/>
      <c r="AG353" s="24">
        <v>3753663</v>
      </c>
      <c r="AH353" s="24"/>
      <c r="AI353" s="24">
        <v>5477788</v>
      </c>
      <c r="AJ353" s="24"/>
      <c r="AK353" s="24">
        <v>9231451</v>
      </c>
      <c r="AL353" s="24">
        <f>+'Gov Rev'!AI353-'Gov Exp'!AE353+'Gov Exp'!AI353-'Gov Exp'!AK353</f>
        <v>0</v>
      </c>
      <c r="AM353" s="15" t="str">
        <f>'Gov Rev'!A353</f>
        <v>Lordstown</v>
      </c>
      <c r="AN353" s="15" t="str">
        <f t="shared" si="16"/>
        <v>Lordstown</v>
      </c>
      <c r="AO353" s="15" t="b">
        <f t="shared" si="17"/>
        <v>1</v>
      </c>
    </row>
    <row r="354" spans="1:41" ht="12" customHeight="1" x14ac:dyDescent="0.2">
      <c r="A354" s="1" t="s">
        <v>88</v>
      </c>
      <c r="B354" s="1"/>
      <c r="C354" s="1" t="s">
        <v>762</v>
      </c>
      <c r="E354" s="24">
        <v>19543.25</v>
      </c>
      <c r="G354" s="24">
        <v>11.79</v>
      </c>
      <c r="I354" s="24">
        <v>718.38</v>
      </c>
      <c r="K354" s="24">
        <v>0</v>
      </c>
      <c r="M354" s="24">
        <v>0</v>
      </c>
      <c r="O354" s="24">
        <v>22048.38</v>
      </c>
      <c r="Q354" s="24">
        <v>45694.07</v>
      </c>
      <c r="S354" s="24">
        <v>18139.45</v>
      </c>
      <c r="U354" s="24">
        <v>3654.54</v>
      </c>
      <c r="W354" s="24">
        <v>483.54</v>
      </c>
      <c r="Y354" s="24">
        <v>0</v>
      </c>
      <c r="AA354" s="24">
        <v>0</v>
      </c>
      <c r="AC354" s="24">
        <v>0</v>
      </c>
      <c r="AE354" s="24">
        <f t="shared" si="15"/>
        <v>110293.39999999998</v>
      </c>
      <c r="AF354" s="24"/>
      <c r="AG354" s="24">
        <v>51883.59</v>
      </c>
      <c r="AH354" s="24"/>
      <c r="AI354" s="24">
        <v>60312.84</v>
      </c>
      <c r="AJ354" s="24"/>
      <c r="AK354" s="24">
        <v>112196.43</v>
      </c>
      <c r="AL354" s="24">
        <f>+'Gov Rev'!AI354-'Gov Exp'!AE354+'Gov Exp'!AI354-'Gov Exp'!AK354</f>
        <v>0</v>
      </c>
      <c r="AM354" s="15" t="str">
        <f>'Gov Rev'!A354</f>
        <v>Lore City</v>
      </c>
      <c r="AN354" s="15" t="str">
        <f t="shared" si="16"/>
        <v>Lore City</v>
      </c>
      <c r="AO354" s="15" t="b">
        <f t="shared" si="17"/>
        <v>1</v>
      </c>
    </row>
    <row r="355" spans="1:41" ht="12" customHeight="1" x14ac:dyDescent="0.2">
      <c r="A355" s="1" t="s">
        <v>907</v>
      </c>
      <c r="B355" s="1"/>
      <c r="C355" s="1" t="s">
        <v>666</v>
      </c>
      <c r="E355" s="24">
        <v>752795.82</v>
      </c>
      <c r="G355" s="24">
        <v>23201.3</v>
      </c>
      <c r="I355" s="24">
        <v>39223.910000000003</v>
      </c>
      <c r="K355" s="24">
        <v>4896.83</v>
      </c>
      <c r="M355" s="24">
        <v>0</v>
      </c>
      <c r="O355" s="24">
        <v>174015.21</v>
      </c>
      <c r="Q355" s="24">
        <v>612016.65</v>
      </c>
      <c r="S355" s="24">
        <v>38262.29</v>
      </c>
      <c r="U355" s="24">
        <v>85003.78</v>
      </c>
      <c r="W355" s="24">
        <v>13208.7</v>
      </c>
      <c r="Y355" s="24">
        <v>868872.74</v>
      </c>
      <c r="AA355" s="24">
        <v>2000</v>
      </c>
      <c r="AC355" s="24">
        <v>0</v>
      </c>
      <c r="AE355" s="24">
        <f t="shared" si="15"/>
        <v>2613497.23</v>
      </c>
      <c r="AF355" s="24"/>
      <c r="AG355" s="24">
        <v>318158.65999999997</v>
      </c>
      <c r="AH355" s="24"/>
      <c r="AI355" s="24">
        <v>352504.05</v>
      </c>
      <c r="AJ355" s="24"/>
      <c r="AK355" s="24">
        <v>670662.71</v>
      </c>
      <c r="AL355" s="24">
        <f>+'Gov Rev'!AI355-'Gov Exp'!AE355+'Gov Exp'!AI355-'Gov Exp'!AK355</f>
        <v>0</v>
      </c>
      <c r="AM355" s="15" t="str">
        <f>'Gov Rev'!A355</f>
        <v>Loudonville</v>
      </c>
      <c r="AN355" s="15" t="str">
        <f t="shared" si="16"/>
        <v>Loudonville</v>
      </c>
      <c r="AO355" s="15" t="b">
        <f t="shared" si="17"/>
        <v>1</v>
      </c>
    </row>
    <row r="356" spans="1:41" ht="12" customHeight="1" x14ac:dyDescent="0.2">
      <c r="A356" s="1" t="s">
        <v>245</v>
      </c>
      <c r="B356" s="1"/>
      <c r="C356" s="1" t="s">
        <v>810</v>
      </c>
      <c r="E356" s="24">
        <v>14044.01</v>
      </c>
      <c r="G356" s="24">
        <v>1766.46</v>
      </c>
      <c r="I356" s="24">
        <v>4319.5</v>
      </c>
      <c r="K356" s="24">
        <v>9.6999999999999993</v>
      </c>
      <c r="M356" s="24">
        <v>0</v>
      </c>
      <c r="O356" s="24">
        <v>20663.810000000001</v>
      </c>
      <c r="Q356" s="24">
        <v>35139.74</v>
      </c>
      <c r="S356" s="24">
        <v>0</v>
      </c>
      <c r="U356" s="24">
        <v>0</v>
      </c>
      <c r="W356" s="24">
        <v>0</v>
      </c>
      <c r="Y356" s="24">
        <v>0</v>
      </c>
      <c r="AA356" s="24">
        <v>0</v>
      </c>
      <c r="AC356" s="24">
        <v>600</v>
      </c>
      <c r="AE356" s="24">
        <f t="shared" si="15"/>
        <v>76543.22</v>
      </c>
      <c r="AF356" s="24"/>
      <c r="AG356" s="24">
        <v>19167.41</v>
      </c>
      <c r="AH356" s="24"/>
      <c r="AI356" s="24">
        <v>57261</v>
      </c>
      <c r="AJ356" s="24"/>
      <c r="AK356" s="24">
        <v>76428.41</v>
      </c>
      <c r="AL356" s="24">
        <f>+'Gov Rev'!AI356-'Gov Exp'!AE356+'Gov Exp'!AI356-'Gov Exp'!AK356</f>
        <v>0</v>
      </c>
      <c r="AM356" s="15" t="str">
        <f>'Gov Rev'!A356</f>
        <v>Lowell</v>
      </c>
      <c r="AN356" s="15" t="str">
        <f t="shared" si="16"/>
        <v>Lowell</v>
      </c>
      <c r="AO356" s="15" t="b">
        <f t="shared" si="17"/>
        <v>1</v>
      </c>
    </row>
    <row r="357" spans="1:41" ht="12" customHeight="1" x14ac:dyDescent="0.2">
      <c r="A357" s="1" t="s">
        <v>840</v>
      </c>
      <c r="B357" s="1"/>
      <c r="C357" s="1" t="s">
        <v>779</v>
      </c>
      <c r="D357" s="24"/>
      <c r="E357" s="24">
        <v>336188.87</v>
      </c>
      <c r="G357" s="24">
        <v>4753.29</v>
      </c>
      <c r="I357" s="24">
        <v>0</v>
      </c>
      <c r="K357" s="24">
        <v>5941.67</v>
      </c>
      <c r="M357" s="24">
        <v>0</v>
      </c>
      <c r="O357" s="24">
        <v>130165.56</v>
      </c>
      <c r="Q357" s="24">
        <v>203081.91</v>
      </c>
      <c r="S357" s="24">
        <v>25392.82</v>
      </c>
      <c r="U357" s="24">
        <v>14122.4</v>
      </c>
      <c r="W357" s="24">
        <v>587.34</v>
      </c>
      <c r="Y357" s="24">
        <v>65986.8</v>
      </c>
      <c r="AA357" s="24">
        <v>0</v>
      </c>
      <c r="AC357" s="24">
        <v>7602.4</v>
      </c>
      <c r="AE357" s="24">
        <f t="shared" si="15"/>
        <v>793823.05999999994</v>
      </c>
      <c r="AF357" s="24"/>
      <c r="AG357" s="24">
        <v>87953.24</v>
      </c>
      <c r="AH357" s="24"/>
      <c r="AI357" s="24">
        <v>118883.48</v>
      </c>
      <c r="AJ357" s="24"/>
      <c r="AK357" s="24">
        <v>206836.72</v>
      </c>
      <c r="AL357" s="24">
        <f>+'Gov Rev'!AI357-'Gov Exp'!AE357+'Gov Exp'!AI357-'Gov Exp'!AK357</f>
        <v>0</v>
      </c>
      <c r="AM357" s="15" t="str">
        <f>'Gov Rev'!A357</f>
        <v>Lowellville</v>
      </c>
      <c r="AN357" s="15" t="str">
        <f t="shared" si="16"/>
        <v>Lowellville</v>
      </c>
      <c r="AO357" s="15" t="b">
        <f t="shared" si="17"/>
        <v>1</v>
      </c>
    </row>
    <row r="358" spans="1:41" ht="12" customHeight="1" x14ac:dyDescent="0.2">
      <c r="A358" s="1" t="s">
        <v>246</v>
      </c>
      <c r="B358" s="1"/>
      <c r="C358" s="1" t="s">
        <v>810</v>
      </c>
      <c r="E358" s="24">
        <v>3732.1</v>
      </c>
      <c r="G358" s="24">
        <v>210.62</v>
      </c>
      <c r="I358" s="24">
        <v>4400.6899999999996</v>
      </c>
      <c r="K358" s="24">
        <v>0</v>
      </c>
      <c r="M358" s="24">
        <v>0</v>
      </c>
      <c r="O358" s="24">
        <v>21137.040000000001</v>
      </c>
      <c r="Q358" s="24">
        <v>20092.96</v>
      </c>
      <c r="S358" s="24">
        <v>0</v>
      </c>
      <c r="U358" s="24">
        <v>0</v>
      </c>
      <c r="W358" s="24">
        <v>0</v>
      </c>
      <c r="Y358" s="24">
        <v>0</v>
      </c>
      <c r="AA358" s="24">
        <v>0</v>
      </c>
      <c r="AC358" s="24">
        <v>0</v>
      </c>
      <c r="AE358" s="24">
        <f t="shared" si="15"/>
        <v>49573.41</v>
      </c>
      <c r="AF358" s="24"/>
      <c r="AG358" s="24">
        <v>-25680.42</v>
      </c>
      <c r="AH358" s="24"/>
      <c r="AI358" s="24">
        <v>46115.15</v>
      </c>
      <c r="AJ358" s="24"/>
      <c r="AK358" s="24">
        <v>20434.73</v>
      </c>
      <c r="AL358" s="24">
        <f>+'Gov Rev'!AI358-'Gov Exp'!AE358+'Gov Exp'!AI358-'Gov Exp'!AK358</f>
        <v>0</v>
      </c>
      <c r="AM358" s="15" t="str">
        <f>'Gov Rev'!A358</f>
        <v>Lower Salem</v>
      </c>
      <c r="AN358" s="15" t="str">
        <f t="shared" si="16"/>
        <v>Lower Salem</v>
      </c>
      <c r="AO358" s="15" t="b">
        <f t="shared" si="17"/>
        <v>1</v>
      </c>
    </row>
    <row r="359" spans="1:41" ht="12" customHeight="1" x14ac:dyDescent="0.2">
      <c r="A359" s="15" t="s">
        <v>455</v>
      </c>
      <c r="C359" s="15" t="s">
        <v>519</v>
      </c>
      <c r="E359" s="24">
        <v>13537</v>
      </c>
      <c r="G359" s="24">
        <v>2159</v>
      </c>
      <c r="I359" s="24">
        <v>0</v>
      </c>
      <c r="K359" s="24">
        <v>1898</v>
      </c>
      <c r="M359" s="24">
        <v>0</v>
      </c>
      <c r="O359" s="24">
        <v>30457</v>
      </c>
      <c r="Q359" s="24">
        <v>31740</v>
      </c>
      <c r="S359" s="24">
        <v>26395</v>
      </c>
      <c r="U359" s="24">
        <v>0</v>
      </c>
      <c r="W359" s="24">
        <v>0</v>
      </c>
      <c r="Y359" s="24">
        <v>20000</v>
      </c>
      <c r="AA359" s="24">
        <v>0</v>
      </c>
      <c r="AC359" s="24">
        <v>0</v>
      </c>
      <c r="AE359" s="24">
        <f t="shared" si="15"/>
        <v>126186</v>
      </c>
      <c r="AF359" s="24"/>
      <c r="AG359" s="24">
        <v>-8356</v>
      </c>
      <c r="AH359" s="24"/>
      <c r="AI359" s="24">
        <f>AK359-AG359</f>
        <v>109034</v>
      </c>
      <c r="AJ359" s="24"/>
      <c r="AK359" s="24">
        <v>100678</v>
      </c>
      <c r="AL359" s="24">
        <f>+'Gov Rev'!AI359-'Gov Exp'!AE359+'Gov Exp'!AI359-'Gov Exp'!AK359</f>
        <v>0</v>
      </c>
      <c r="AM359" s="15" t="str">
        <f>'Gov Rev'!A359</f>
        <v>Lucas</v>
      </c>
      <c r="AN359" s="15" t="str">
        <f t="shared" si="16"/>
        <v>Lucas</v>
      </c>
      <c r="AO359" s="15" t="b">
        <f t="shared" si="17"/>
        <v>1</v>
      </c>
    </row>
    <row r="360" spans="1:41" ht="12" customHeight="1" x14ac:dyDescent="0.2">
      <c r="A360" s="1" t="s">
        <v>604</v>
      </c>
      <c r="B360" s="1"/>
      <c r="C360" s="1" t="s">
        <v>601</v>
      </c>
      <c r="E360" s="24">
        <v>112236.45</v>
      </c>
      <c r="G360" s="24">
        <v>0</v>
      </c>
      <c r="I360" s="24">
        <v>7658.73</v>
      </c>
      <c r="K360" s="24">
        <v>59100.84</v>
      </c>
      <c r="M360" s="24">
        <v>72083.509999999995</v>
      </c>
      <c r="O360" s="24">
        <v>86945.75</v>
      </c>
      <c r="Q360" s="24">
        <v>71747.520000000004</v>
      </c>
      <c r="S360" s="24">
        <v>0</v>
      </c>
      <c r="U360" s="24">
        <v>0</v>
      </c>
      <c r="W360" s="24">
        <v>0</v>
      </c>
      <c r="Y360" s="24">
        <v>31486.77</v>
      </c>
      <c r="AA360" s="24">
        <v>0</v>
      </c>
      <c r="AC360" s="24">
        <v>0</v>
      </c>
      <c r="AE360" s="24">
        <f t="shared" si="15"/>
        <v>441259.57</v>
      </c>
      <c r="AF360" s="24"/>
      <c r="AG360" s="24">
        <v>54673.99</v>
      </c>
      <c r="AH360" s="24"/>
      <c r="AI360" s="24">
        <v>290419.31</v>
      </c>
      <c r="AJ360" s="24"/>
      <c r="AK360" s="24">
        <v>345093.3</v>
      </c>
      <c r="AL360" s="24">
        <f>+'Gov Rev'!AI360-'Gov Exp'!AE360+'Gov Exp'!AI360-'Gov Exp'!AK360</f>
        <v>0</v>
      </c>
      <c r="AM360" s="15" t="str">
        <f>'Gov Rev'!A360</f>
        <v>Luckey</v>
      </c>
      <c r="AN360" s="15" t="str">
        <f t="shared" si="16"/>
        <v>Luckey</v>
      </c>
      <c r="AO360" s="15" t="b">
        <f t="shared" si="17"/>
        <v>1</v>
      </c>
    </row>
    <row r="361" spans="1:41" ht="12" customHeight="1" x14ac:dyDescent="0.2">
      <c r="A361" s="1" t="s">
        <v>110</v>
      </c>
      <c r="B361" s="1"/>
      <c r="C361" s="1" t="s">
        <v>767</v>
      </c>
      <c r="D361" s="28"/>
      <c r="E361" s="24">
        <v>81406.649999999994</v>
      </c>
      <c r="G361" s="24">
        <v>4536.01</v>
      </c>
      <c r="I361" s="24">
        <v>9708.67</v>
      </c>
      <c r="K361" s="24">
        <v>0</v>
      </c>
      <c r="M361" s="24">
        <v>1934.17</v>
      </c>
      <c r="O361" s="24">
        <v>146856.51999999999</v>
      </c>
      <c r="Q361" s="24">
        <v>99388.44</v>
      </c>
      <c r="S361" s="24">
        <v>13805.85</v>
      </c>
      <c r="U361" s="24">
        <v>144724.67000000001</v>
      </c>
      <c r="W361" s="24">
        <v>38903.120000000003</v>
      </c>
      <c r="Y361" s="24">
        <v>0</v>
      </c>
      <c r="AA361" s="24">
        <v>19844</v>
      </c>
      <c r="AC361" s="24">
        <v>0</v>
      </c>
      <c r="AE361" s="24">
        <f t="shared" si="15"/>
        <v>561108.1</v>
      </c>
      <c r="AF361" s="24"/>
      <c r="AG361" s="24">
        <v>77592.649999999994</v>
      </c>
      <c r="AH361" s="24"/>
      <c r="AI361" s="24">
        <v>234522.69</v>
      </c>
      <c r="AJ361" s="24"/>
      <c r="AK361" s="24">
        <v>312115.34000000003</v>
      </c>
      <c r="AL361" s="24">
        <f>+'Gov Rev'!AI361-'Gov Exp'!AE361+'Gov Exp'!AI361-'Gov Exp'!AK361</f>
        <v>0</v>
      </c>
      <c r="AM361" s="15" t="str">
        <f>'Gov Rev'!A361</f>
        <v>Lynchburg</v>
      </c>
      <c r="AN361" s="15" t="str">
        <f t="shared" si="16"/>
        <v>Lynchburg</v>
      </c>
      <c r="AO361" s="15" t="b">
        <f t="shared" si="17"/>
        <v>1</v>
      </c>
    </row>
    <row r="362" spans="1:41" ht="12" customHeight="1" x14ac:dyDescent="0.2">
      <c r="A362" s="1"/>
      <c r="B362" s="1"/>
      <c r="C362" s="1"/>
      <c r="AE362" s="24"/>
      <c r="AF362" s="24"/>
      <c r="AG362" s="24"/>
      <c r="AH362" s="24"/>
      <c r="AI362" s="24"/>
      <c r="AJ362" s="24"/>
      <c r="AK362" s="24"/>
      <c r="AL362" s="24"/>
    </row>
    <row r="363" spans="1:41" ht="12" customHeight="1" x14ac:dyDescent="0.2">
      <c r="A363" s="1"/>
      <c r="B363" s="1"/>
      <c r="C363" s="1"/>
      <c r="AE363" s="77" t="s">
        <v>850</v>
      </c>
      <c r="AF363" s="24"/>
      <c r="AG363" s="24"/>
      <c r="AH363" s="24"/>
      <c r="AI363" s="24"/>
      <c r="AJ363" s="24"/>
      <c r="AK363" s="24"/>
      <c r="AL363" s="24"/>
    </row>
    <row r="364" spans="1:41" ht="12" customHeight="1" x14ac:dyDescent="0.2">
      <c r="A364" s="1"/>
      <c r="B364" s="1"/>
      <c r="C364" s="1"/>
      <c r="AE364" s="24"/>
      <c r="AF364" s="24"/>
      <c r="AG364" s="24"/>
      <c r="AH364" s="24"/>
      <c r="AI364" s="24"/>
      <c r="AJ364" s="24"/>
      <c r="AK364" s="24"/>
      <c r="AL364" s="24"/>
    </row>
    <row r="365" spans="1:41" ht="12" customHeight="1" x14ac:dyDescent="0.2">
      <c r="A365" s="1" t="s">
        <v>78</v>
      </c>
      <c r="B365" s="1"/>
      <c r="C365" s="1" t="s">
        <v>759</v>
      </c>
      <c r="E365" s="91">
        <v>14049.47</v>
      </c>
      <c r="F365" s="91"/>
      <c r="G365" s="91">
        <v>0</v>
      </c>
      <c r="H365" s="91"/>
      <c r="I365" s="91">
        <v>13836.46</v>
      </c>
      <c r="J365" s="91"/>
      <c r="K365" s="91">
        <v>400</v>
      </c>
      <c r="L365" s="91"/>
      <c r="M365" s="91">
        <v>3029.9</v>
      </c>
      <c r="N365" s="91"/>
      <c r="O365" s="91">
        <v>43297.3</v>
      </c>
      <c r="P365" s="91"/>
      <c r="Q365" s="91">
        <v>91221.09</v>
      </c>
      <c r="R365" s="91"/>
      <c r="S365" s="91">
        <v>94144.5</v>
      </c>
      <c r="T365" s="91"/>
      <c r="U365" s="91">
        <v>0</v>
      </c>
      <c r="V365" s="91"/>
      <c r="W365" s="91">
        <v>0</v>
      </c>
      <c r="X365" s="91"/>
      <c r="Y365" s="91">
        <v>11729.06</v>
      </c>
      <c r="Z365" s="91"/>
      <c r="AA365" s="91">
        <v>70000</v>
      </c>
      <c r="AB365" s="91"/>
      <c r="AC365" s="91">
        <v>0</v>
      </c>
      <c r="AD365" s="91"/>
      <c r="AE365" s="91">
        <f t="shared" si="15"/>
        <v>341707.78</v>
      </c>
      <c r="AF365" s="24"/>
      <c r="AG365" s="24">
        <v>2751.74</v>
      </c>
      <c r="AH365" s="24"/>
      <c r="AI365" s="24">
        <v>274555.49</v>
      </c>
      <c r="AJ365" s="24"/>
      <c r="AK365" s="24">
        <v>277307.23</v>
      </c>
      <c r="AL365" s="24">
        <f>+'Gov Rev'!AI362-'Gov Exp'!AE365+'Gov Exp'!AI365-'Gov Exp'!AK365</f>
        <v>0</v>
      </c>
      <c r="AM365" s="15" t="str">
        <f>'Gov Rev'!A362</f>
        <v>Lyons</v>
      </c>
      <c r="AN365" s="15" t="str">
        <f t="shared" si="16"/>
        <v>Lyons</v>
      </c>
      <c r="AO365" s="15" t="b">
        <f t="shared" si="17"/>
        <v>1</v>
      </c>
    </row>
    <row r="366" spans="1:41" ht="12" customHeight="1" x14ac:dyDescent="0.2">
      <c r="A366" s="15" t="s">
        <v>432</v>
      </c>
      <c r="C366" s="15" t="s">
        <v>430</v>
      </c>
      <c r="E366" s="24">
        <v>642791.89</v>
      </c>
      <c r="G366" s="24">
        <v>29549.87</v>
      </c>
      <c r="I366" s="24">
        <v>171226.81</v>
      </c>
      <c r="K366" s="24">
        <v>0</v>
      </c>
      <c r="M366" s="24">
        <v>91105.46</v>
      </c>
      <c r="O366" s="24">
        <v>256909.99</v>
      </c>
      <c r="Q366" s="24">
        <v>388192.63</v>
      </c>
      <c r="S366" s="24">
        <v>49345.89</v>
      </c>
      <c r="U366" s="24">
        <v>35390.449999999997</v>
      </c>
      <c r="W366" s="24">
        <v>5682.22</v>
      </c>
      <c r="Y366" s="24">
        <v>264789.81</v>
      </c>
      <c r="AA366" s="24">
        <v>170000</v>
      </c>
      <c r="AC366" s="24">
        <v>0</v>
      </c>
      <c r="AE366" s="24">
        <f t="shared" si="15"/>
        <v>2104985.0199999996</v>
      </c>
      <c r="AF366" s="24"/>
      <c r="AG366" s="24">
        <v>171774.07</v>
      </c>
      <c r="AH366" s="24"/>
      <c r="AI366" s="24">
        <v>743196.22</v>
      </c>
      <c r="AJ366" s="24"/>
      <c r="AK366" s="24">
        <v>914970.29</v>
      </c>
      <c r="AL366" s="24">
        <f>+'Gov Rev'!AI363-'Gov Exp'!AE366+'Gov Exp'!AI366-'Gov Exp'!AK366</f>
        <v>0</v>
      </c>
      <c r="AM366" s="15" t="str">
        <f>'Gov Rev'!A363</f>
        <v>Madison</v>
      </c>
      <c r="AN366" s="15" t="str">
        <f t="shared" si="16"/>
        <v>Madison</v>
      </c>
      <c r="AO366" s="15" t="b">
        <f t="shared" si="17"/>
        <v>1</v>
      </c>
    </row>
    <row r="367" spans="1:41" ht="12" customHeight="1" x14ac:dyDescent="0.2">
      <c r="A367" s="1" t="s">
        <v>236</v>
      </c>
      <c r="B367" s="1"/>
      <c r="C367" s="1" t="s">
        <v>807</v>
      </c>
      <c r="E367" s="24">
        <v>3783.9</v>
      </c>
      <c r="G367" s="24">
        <v>4072.88</v>
      </c>
      <c r="I367" s="24">
        <v>666.45</v>
      </c>
      <c r="K367" s="24">
        <v>0</v>
      </c>
      <c r="M367" s="24">
        <v>0</v>
      </c>
      <c r="O367" s="24">
        <v>3891.94</v>
      </c>
      <c r="Q367" s="24">
        <v>21491.87</v>
      </c>
      <c r="S367" s="24">
        <v>415</v>
      </c>
      <c r="U367" s="24">
        <v>0</v>
      </c>
      <c r="W367" s="24">
        <v>0</v>
      </c>
      <c r="Y367" s="24">
        <v>0</v>
      </c>
      <c r="AA367" s="24">
        <v>0</v>
      </c>
      <c r="AC367" s="24">
        <v>0</v>
      </c>
      <c r="AE367" s="24">
        <f t="shared" si="15"/>
        <v>34322.04</v>
      </c>
      <c r="AF367" s="24"/>
      <c r="AG367" s="24">
        <v>14287.97</v>
      </c>
      <c r="AH367" s="24"/>
      <c r="AI367" s="24">
        <v>125491.92</v>
      </c>
      <c r="AJ367" s="24"/>
      <c r="AK367" s="24">
        <v>139779.89000000001</v>
      </c>
      <c r="AL367" s="24">
        <f>+'Gov Rev'!AI364-'Gov Exp'!AE367+'Gov Exp'!AI367-'Gov Exp'!AK367</f>
        <v>0</v>
      </c>
      <c r="AM367" s="15" t="str">
        <f>'Gov Rev'!A364</f>
        <v>Magnetic Springs</v>
      </c>
      <c r="AN367" s="15" t="str">
        <f t="shared" si="16"/>
        <v>Magnetic Springs</v>
      </c>
      <c r="AO367" s="15" t="b">
        <f t="shared" si="17"/>
        <v>1</v>
      </c>
    </row>
    <row r="368" spans="1:41" ht="12" customHeight="1" x14ac:dyDescent="0.2">
      <c r="A368" s="24" t="s">
        <v>544</v>
      </c>
      <c r="B368" s="24"/>
      <c r="C368" s="24" t="s">
        <v>540</v>
      </c>
      <c r="D368" s="24"/>
      <c r="E368" s="24">
        <f>179131+50603</f>
        <v>229734</v>
      </c>
      <c r="G368" s="24">
        <f>4345+25616</f>
        <v>29961</v>
      </c>
      <c r="I368" s="24">
        <v>13991</v>
      </c>
      <c r="K368" s="24">
        <v>0</v>
      </c>
      <c r="M368" s="24">
        <v>10880</v>
      </c>
      <c r="O368" s="24">
        <f>89231+42886</f>
        <v>132117</v>
      </c>
      <c r="Q368" s="24">
        <f>62557+2582</f>
        <v>65139</v>
      </c>
      <c r="S368" s="24">
        <v>0</v>
      </c>
      <c r="U368" s="24">
        <f>1549+1578</f>
        <v>3127</v>
      </c>
      <c r="W368" s="24">
        <v>451</v>
      </c>
      <c r="Y368" s="24">
        <v>3231</v>
      </c>
      <c r="AA368" s="24">
        <v>0</v>
      </c>
      <c r="AC368" s="24">
        <v>0</v>
      </c>
      <c r="AE368" s="24">
        <f t="shared" si="15"/>
        <v>488631</v>
      </c>
      <c r="AF368" s="24"/>
      <c r="AG368" s="24">
        <f>-50210-1907</f>
        <v>-52117</v>
      </c>
      <c r="AH368" s="24"/>
      <c r="AI368" s="24">
        <f>101949+45248</f>
        <v>147197</v>
      </c>
      <c r="AJ368" s="24"/>
      <c r="AK368" s="24">
        <f>51738+43341</f>
        <v>95079</v>
      </c>
      <c r="AL368" s="24">
        <f>+'Gov Rev'!AI365-'Gov Exp'!AE368+'Gov Exp'!AI368-'Gov Exp'!AK368</f>
        <v>0</v>
      </c>
      <c r="AM368" s="15" t="str">
        <f>'Gov Rev'!A365</f>
        <v>Magnolia</v>
      </c>
      <c r="AN368" s="15" t="str">
        <f t="shared" si="16"/>
        <v>Magnolia</v>
      </c>
      <c r="AO368" s="15" t="b">
        <f t="shared" si="17"/>
        <v>1</v>
      </c>
    </row>
    <row r="369" spans="1:41" ht="12" customHeight="1" x14ac:dyDescent="0.2">
      <c r="A369" s="1" t="s">
        <v>242</v>
      </c>
      <c r="B369" s="1"/>
      <c r="C369" s="1" t="s">
        <v>809</v>
      </c>
      <c r="D369" s="24"/>
      <c r="E369" s="24">
        <v>150967.88</v>
      </c>
      <c r="G369" s="24">
        <v>0</v>
      </c>
      <c r="I369" s="24">
        <v>0</v>
      </c>
      <c r="K369" s="24">
        <v>19342.5</v>
      </c>
      <c r="M369" s="24">
        <v>77865.78</v>
      </c>
      <c r="O369" s="24">
        <v>71618.77</v>
      </c>
      <c r="Q369" s="24">
        <v>194360.1</v>
      </c>
      <c r="S369" s="24">
        <v>0</v>
      </c>
      <c r="U369" s="24">
        <v>23315.18</v>
      </c>
      <c r="W369" s="24">
        <v>3794.97</v>
      </c>
      <c r="Y369" s="24">
        <v>0</v>
      </c>
      <c r="AA369" s="24">
        <v>0</v>
      </c>
      <c r="AC369" s="24">
        <v>184.98</v>
      </c>
      <c r="AE369" s="24">
        <f t="shared" si="15"/>
        <v>541450.16</v>
      </c>
      <c r="AF369" s="24"/>
      <c r="AG369" s="24">
        <v>-29564.23</v>
      </c>
      <c r="AH369" s="24"/>
      <c r="AI369" s="24">
        <v>481301.46</v>
      </c>
      <c r="AJ369" s="24"/>
      <c r="AK369" s="24">
        <v>451737.23</v>
      </c>
      <c r="AL369" s="24">
        <f>+'Gov Rev'!AI366-'Gov Exp'!AE369+'Gov Exp'!AI369-'Gov Exp'!AK369</f>
        <v>0</v>
      </c>
      <c r="AM369" s="15" t="str">
        <f>'Gov Rev'!A366</f>
        <v>Maineville</v>
      </c>
      <c r="AN369" s="15" t="str">
        <f t="shared" si="16"/>
        <v>Maineville</v>
      </c>
      <c r="AO369" s="15" t="b">
        <f t="shared" si="17"/>
        <v>1</v>
      </c>
    </row>
    <row r="370" spans="1:41" ht="12" customHeight="1" x14ac:dyDescent="0.2">
      <c r="A370" s="1" t="s">
        <v>107</v>
      </c>
      <c r="B370" s="1"/>
      <c r="C370" s="1" t="s">
        <v>766</v>
      </c>
      <c r="E370" s="24">
        <v>9603.6</v>
      </c>
      <c r="G370" s="24">
        <v>0</v>
      </c>
      <c r="I370" s="24">
        <v>1242.73</v>
      </c>
      <c r="K370" s="24">
        <v>780</v>
      </c>
      <c r="M370" s="24">
        <v>1865.55</v>
      </c>
      <c r="O370" s="24">
        <v>17394.22</v>
      </c>
      <c r="Q370" s="24">
        <v>51504.44</v>
      </c>
      <c r="S370" s="24">
        <v>26128.62</v>
      </c>
      <c r="U370" s="24">
        <v>0</v>
      </c>
      <c r="W370" s="24">
        <v>0</v>
      </c>
      <c r="Y370" s="24">
        <v>81019.210000000006</v>
      </c>
      <c r="AA370" s="24">
        <v>0</v>
      </c>
      <c r="AC370" s="24">
        <v>508</v>
      </c>
      <c r="AE370" s="24">
        <f t="shared" si="15"/>
        <v>190046.37</v>
      </c>
      <c r="AF370" s="24"/>
      <c r="AG370" s="24">
        <v>25228.65</v>
      </c>
      <c r="AH370" s="24"/>
      <c r="AI370" s="24">
        <v>267441.7</v>
      </c>
      <c r="AJ370" s="24"/>
      <c r="AK370" s="24">
        <v>292670.34999999998</v>
      </c>
      <c r="AL370" s="24">
        <f>+'Gov Rev'!AI367-'Gov Exp'!AE370+'Gov Exp'!AI370-'Gov Exp'!AK370</f>
        <v>0</v>
      </c>
      <c r="AM370" s="15" t="str">
        <f>'Gov Rev'!A367</f>
        <v>Malinta</v>
      </c>
      <c r="AN370" s="15" t="str">
        <f t="shared" si="16"/>
        <v>Malinta</v>
      </c>
      <c r="AO370" s="15" t="b">
        <f t="shared" si="17"/>
        <v>1</v>
      </c>
    </row>
    <row r="371" spans="1:41" ht="12" customHeight="1" x14ac:dyDescent="0.2">
      <c r="A371" s="1" t="s">
        <v>928</v>
      </c>
      <c r="B371" s="1"/>
      <c r="C371" s="1" t="s">
        <v>882</v>
      </c>
      <c r="E371" s="24">
        <v>9453.18</v>
      </c>
      <c r="G371" s="24">
        <v>0</v>
      </c>
      <c r="I371" s="24">
        <v>0</v>
      </c>
      <c r="K371" s="24">
        <v>0</v>
      </c>
      <c r="M371" s="24">
        <v>0</v>
      </c>
      <c r="O371" s="24">
        <v>31786.52</v>
      </c>
      <c r="Q371" s="24">
        <v>126645.21</v>
      </c>
      <c r="S371" s="24">
        <v>0</v>
      </c>
      <c r="U371" s="24">
        <v>0</v>
      </c>
      <c r="W371" s="24">
        <v>0</v>
      </c>
      <c r="Y371" s="24">
        <v>0</v>
      </c>
      <c r="AA371" s="24">
        <v>0</v>
      </c>
      <c r="AC371" s="24">
        <v>0</v>
      </c>
      <c r="AE371" s="24">
        <f t="shared" si="15"/>
        <v>167884.91</v>
      </c>
      <c r="AF371" s="24"/>
      <c r="AG371" s="24">
        <v>53742.39</v>
      </c>
      <c r="AH371" s="24"/>
      <c r="AI371" s="24">
        <v>105987.36</v>
      </c>
      <c r="AJ371" s="24"/>
      <c r="AK371" s="24">
        <v>159729.75</v>
      </c>
      <c r="AL371" s="24">
        <f>+'Gov Rev'!AI368-'Gov Exp'!AE371+'Gov Exp'!AI371-'Gov Exp'!AK371</f>
        <v>0</v>
      </c>
      <c r="AM371" s="15" t="str">
        <f>'Gov Rev'!A368</f>
        <v>Malta</v>
      </c>
      <c r="AN371" s="15" t="str">
        <f t="shared" si="16"/>
        <v>Malta</v>
      </c>
      <c r="AO371" s="15" t="b">
        <f t="shared" si="17"/>
        <v>1</v>
      </c>
    </row>
    <row r="372" spans="1:41" ht="12" customHeight="1" x14ac:dyDescent="0.2">
      <c r="A372" s="1" t="s">
        <v>30</v>
      </c>
      <c r="B372" s="1"/>
      <c r="C372" s="1" t="s">
        <v>744</v>
      </c>
      <c r="E372" s="24">
        <v>54338.38</v>
      </c>
      <c r="G372" s="24">
        <v>7234.88</v>
      </c>
      <c r="I372" s="24">
        <v>51981.43</v>
      </c>
      <c r="K372" s="24">
        <v>0</v>
      </c>
      <c r="M372" s="24">
        <v>0</v>
      </c>
      <c r="O372" s="24">
        <v>116701.28</v>
      </c>
      <c r="Q372" s="24">
        <v>166184.85999999999</v>
      </c>
      <c r="S372" s="24">
        <v>0</v>
      </c>
      <c r="U372" s="24">
        <v>12202.09</v>
      </c>
      <c r="W372" s="24">
        <v>113.74</v>
      </c>
      <c r="Y372" s="24">
        <v>61200</v>
      </c>
      <c r="AA372" s="24">
        <v>0</v>
      </c>
      <c r="AC372" s="24">
        <v>0</v>
      </c>
      <c r="AE372" s="24">
        <f t="shared" si="15"/>
        <v>469956.66</v>
      </c>
      <c r="AF372" s="24"/>
      <c r="AG372" s="24">
        <v>-46965.66</v>
      </c>
      <c r="AH372" s="24"/>
      <c r="AI372" s="24">
        <v>219015.45</v>
      </c>
      <c r="AJ372" s="24"/>
      <c r="AK372" s="24">
        <v>172049.79</v>
      </c>
      <c r="AL372" s="24">
        <f>+'Gov Rev'!AI369-'Gov Exp'!AE372+'Gov Exp'!AI372-'Gov Exp'!AK372</f>
        <v>0</v>
      </c>
      <c r="AM372" s="15" t="str">
        <f>'Gov Rev'!A369</f>
        <v>Malvern</v>
      </c>
      <c r="AN372" s="15" t="str">
        <f t="shared" si="16"/>
        <v>Malvern</v>
      </c>
      <c r="AO372" s="15" t="b">
        <f t="shared" si="17"/>
        <v>1</v>
      </c>
    </row>
    <row r="373" spans="1:41" ht="12" customHeight="1" x14ac:dyDescent="0.2">
      <c r="A373" s="1" t="s">
        <v>913</v>
      </c>
      <c r="B373" s="1"/>
      <c r="C373" s="1" t="s">
        <v>659</v>
      </c>
      <c r="E373" s="24">
        <v>495321.2</v>
      </c>
      <c r="G373" s="24">
        <v>2861.42</v>
      </c>
      <c r="I373" s="24">
        <v>0</v>
      </c>
      <c r="K373" s="24">
        <v>0</v>
      </c>
      <c r="M373" s="24">
        <v>0</v>
      </c>
      <c r="O373" s="24">
        <v>82681.02</v>
      </c>
      <c r="Q373" s="24">
        <v>95124.26</v>
      </c>
      <c r="S373" s="24">
        <v>57474.21</v>
      </c>
      <c r="U373" s="24">
        <v>48183</v>
      </c>
      <c r="W373" s="24">
        <v>6500</v>
      </c>
      <c r="Y373" s="24">
        <v>124757.87</v>
      </c>
      <c r="AA373" s="24">
        <v>0</v>
      </c>
      <c r="AC373" s="24">
        <v>0</v>
      </c>
      <c r="AE373" s="24">
        <f t="shared" si="15"/>
        <v>912902.98</v>
      </c>
      <c r="AF373" s="24"/>
      <c r="AG373" s="24">
        <v>-36973.089999999997</v>
      </c>
      <c r="AH373" s="24"/>
      <c r="AI373" s="24">
        <v>273059.34999999998</v>
      </c>
      <c r="AJ373" s="24"/>
      <c r="AK373" s="24">
        <v>236086.26</v>
      </c>
      <c r="AL373" s="24">
        <f>+'Gov Rev'!AI370-'Gov Exp'!AE373+'Gov Exp'!AI373-'Gov Exp'!AK373</f>
        <v>0</v>
      </c>
      <c r="AM373" s="15" t="str">
        <f>'Gov Rev'!A370</f>
        <v>Manchester</v>
      </c>
      <c r="AN373" s="15" t="str">
        <f t="shared" si="16"/>
        <v>Manchester</v>
      </c>
      <c r="AO373" s="15" t="b">
        <f t="shared" si="17"/>
        <v>1</v>
      </c>
    </row>
    <row r="374" spans="1:41" ht="12" customHeight="1" x14ac:dyDescent="0.2">
      <c r="A374" s="1" t="s">
        <v>195</v>
      </c>
      <c r="B374" s="1"/>
      <c r="C374" s="1" t="s">
        <v>795</v>
      </c>
      <c r="D374" s="24"/>
      <c r="E374" s="24">
        <v>420286.89</v>
      </c>
      <c r="G374" s="24">
        <v>81422.33</v>
      </c>
      <c r="I374" s="24">
        <v>26406.29</v>
      </c>
      <c r="K374" s="24">
        <v>6230.61</v>
      </c>
      <c r="M374" s="24">
        <v>0</v>
      </c>
      <c r="O374" s="24">
        <v>178452.41</v>
      </c>
      <c r="Q374" s="24">
        <v>182635.47</v>
      </c>
      <c r="S374" s="24">
        <v>32085.38</v>
      </c>
      <c r="U374" s="24">
        <v>23895.54</v>
      </c>
      <c r="W374" s="24">
        <v>20905.7</v>
      </c>
      <c r="Y374" s="24">
        <v>0</v>
      </c>
      <c r="AA374" s="24">
        <v>5666.18</v>
      </c>
      <c r="AC374" s="24">
        <v>0</v>
      </c>
      <c r="AE374" s="24">
        <f t="shared" si="15"/>
        <v>977986.8</v>
      </c>
      <c r="AF374" s="24"/>
      <c r="AG374" s="24">
        <v>110090.9</v>
      </c>
      <c r="AH374" s="24"/>
      <c r="AI374" s="24">
        <v>212969.36</v>
      </c>
      <c r="AJ374" s="24"/>
      <c r="AK374" s="24">
        <v>323060.26</v>
      </c>
      <c r="AL374" s="24">
        <f>+'Gov Rev'!AI371-'Gov Exp'!AE374+'Gov Exp'!AI374-'Gov Exp'!AK374</f>
        <v>0</v>
      </c>
      <c r="AM374" s="15" t="str">
        <f>'Gov Rev'!A371</f>
        <v>Mantua</v>
      </c>
      <c r="AN374" s="15" t="str">
        <f t="shared" si="16"/>
        <v>Mantua</v>
      </c>
      <c r="AO374" s="15" t="b">
        <f t="shared" si="17"/>
        <v>1</v>
      </c>
    </row>
    <row r="375" spans="1:41" s="31" customFormat="1" ht="12" customHeight="1" x14ac:dyDescent="0.2">
      <c r="A375" s="1" t="s">
        <v>73</v>
      </c>
      <c r="B375" s="1"/>
      <c r="C375" s="1" t="s">
        <v>758</v>
      </c>
      <c r="D375" s="15"/>
      <c r="E375" s="24">
        <v>401458.05</v>
      </c>
      <c r="F375" s="24"/>
      <c r="G375" s="24">
        <v>8511.6299999999992</v>
      </c>
      <c r="H375" s="24"/>
      <c r="I375" s="24">
        <v>49186.61</v>
      </c>
      <c r="J375" s="24"/>
      <c r="K375" s="24">
        <v>588</v>
      </c>
      <c r="L375" s="24"/>
      <c r="M375" s="24">
        <v>91966.2</v>
      </c>
      <c r="N375" s="24"/>
      <c r="O375" s="24">
        <v>53399</v>
      </c>
      <c r="P375" s="24"/>
      <c r="Q375" s="24">
        <v>346627.27</v>
      </c>
      <c r="R375" s="24"/>
      <c r="S375" s="24">
        <v>213712.68</v>
      </c>
      <c r="T375" s="24"/>
      <c r="U375" s="24">
        <v>101934.76</v>
      </c>
      <c r="V375" s="24"/>
      <c r="W375" s="24">
        <v>35843.5</v>
      </c>
      <c r="X375" s="24"/>
      <c r="Y375" s="24">
        <v>178866.17</v>
      </c>
      <c r="Z375" s="24"/>
      <c r="AA375" s="24">
        <v>0</v>
      </c>
      <c r="AB375" s="24"/>
      <c r="AC375" s="24">
        <v>0</v>
      </c>
      <c r="AD375" s="24"/>
      <c r="AE375" s="24">
        <f t="shared" si="15"/>
        <v>1482093.8699999999</v>
      </c>
      <c r="AF375" s="24"/>
      <c r="AG375" s="24">
        <v>788964.02</v>
      </c>
      <c r="AH375" s="24"/>
      <c r="AI375" s="24">
        <v>2090733.42</v>
      </c>
      <c r="AJ375" s="24"/>
      <c r="AK375" s="24">
        <v>2879697.44</v>
      </c>
      <c r="AL375" s="24">
        <f>+'Gov Rev'!AI372-'Gov Exp'!AE375+'Gov Exp'!AI375-'Gov Exp'!AK375</f>
        <v>0</v>
      </c>
      <c r="AM375" s="15" t="str">
        <f>'Gov Rev'!A372</f>
        <v>Marble Cliff</v>
      </c>
      <c r="AN375" s="15" t="str">
        <f t="shared" si="16"/>
        <v>Marble Cliff</v>
      </c>
      <c r="AO375" s="15" t="b">
        <f t="shared" si="17"/>
        <v>1</v>
      </c>
    </row>
    <row r="376" spans="1:41" ht="12" customHeight="1" x14ac:dyDescent="0.2">
      <c r="A376" s="1" t="s">
        <v>828</v>
      </c>
      <c r="B376" s="1"/>
      <c r="C376" s="1" t="s">
        <v>791</v>
      </c>
      <c r="E376" s="24">
        <v>499171.93</v>
      </c>
      <c r="G376" s="24">
        <v>32403.119999999999</v>
      </c>
      <c r="I376" s="24">
        <v>32101.66</v>
      </c>
      <c r="K376" s="24">
        <v>20397.84</v>
      </c>
      <c r="M376" s="24">
        <v>0</v>
      </c>
      <c r="O376" s="24">
        <v>228148.49</v>
      </c>
      <c r="Q376" s="24">
        <v>134613.99</v>
      </c>
      <c r="S376" s="24">
        <v>378378.72</v>
      </c>
      <c r="U376" s="24">
        <v>10000</v>
      </c>
      <c r="W376" s="24">
        <v>11198</v>
      </c>
      <c r="Y376" s="24">
        <v>0</v>
      </c>
      <c r="AA376" s="24">
        <v>10480</v>
      </c>
      <c r="AC376" s="24">
        <v>4290.5</v>
      </c>
      <c r="AE376" s="24">
        <f t="shared" si="15"/>
        <v>1361184.25</v>
      </c>
      <c r="AF376" s="24"/>
      <c r="AG376" s="24">
        <v>-335734.53</v>
      </c>
      <c r="AH376" s="24"/>
      <c r="AI376" s="24">
        <v>2118387.9900000002</v>
      </c>
      <c r="AJ376" s="24"/>
      <c r="AK376" s="24">
        <v>1782653.46</v>
      </c>
      <c r="AL376" s="24">
        <f>+'Gov Rev'!AI373-'Gov Exp'!AE376+'Gov Exp'!AI376-'Gov Exp'!AK376</f>
        <v>0</v>
      </c>
      <c r="AM376" s="15" t="str">
        <f>'Gov Rev'!A373</f>
        <v>Marblehead</v>
      </c>
      <c r="AN376" s="15" t="str">
        <f t="shared" si="16"/>
        <v>Marblehead</v>
      </c>
      <c r="AO376" s="15" t="b">
        <f t="shared" si="17"/>
        <v>1</v>
      </c>
    </row>
    <row r="377" spans="1:41" s="31" customFormat="1" ht="12" customHeight="1" x14ac:dyDescent="0.2">
      <c r="A377" s="1" t="s">
        <v>173</v>
      </c>
      <c r="B377" s="1"/>
      <c r="C377" s="1" t="s">
        <v>243</v>
      </c>
      <c r="D377" s="15"/>
      <c r="E377" s="24">
        <v>0</v>
      </c>
      <c r="F377" s="24"/>
      <c r="G377" s="24">
        <v>0</v>
      </c>
      <c r="H377" s="24"/>
      <c r="I377" s="24">
        <v>0</v>
      </c>
      <c r="J377" s="24"/>
      <c r="K377" s="24">
        <v>0</v>
      </c>
      <c r="L377" s="24"/>
      <c r="M377" s="24">
        <v>0</v>
      </c>
      <c r="N377" s="24"/>
      <c r="O377" s="24">
        <v>14866.14</v>
      </c>
      <c r="P377" s="24"/>
      <c r="Q377" s="24">
        <v>47125.07</v>
      </c>
      <c r="R377" s="24"/>
      <c r="S377" s="24">
        <v>1280</v>
      </c>
      <c r="T377" s="24"/>
      <c r="U377" s="24">
        <v>0</v>
      </c>
      <c r="V377" s="24"/>
      <c r="W377" s="24">
        <v>0</v>
      </c>
      <c r="X377" s="24"/>
      <c r="Y377" s="24">
        <v>0</v>
      </c>
      <c r="Z377" s="24"/>
      <c r="AA377" s="24">
        <v>0</v>
      </c>
      <c r="AB377" s="24"/>
      <c r="AC377" s="24">
        <v>0</v>
      </c>
      <c r="AD377" s="24"/>
      <c r="AE377" s="24">
        <f t="shared" si="15"/>
        <v>63271.21</v>
      </c>
      <c r="AF377" s="24"/>
      <c r="AG377" s="24">
        <v>-23497.63</v>
      </c>
      <c r="AH377" s="24"/>
      <c r="AI377" s="24">
        <v>97506.13</v>
      </c>
      <c r="AJ377" s="24"/>
      <c r="AK377" s="24">
        <v>74008.5</v>
      </c>
      <c r="AL377" s="24">
        <f>+'Gov Rev'!AI374-'Gov Exp'!AE377+'Gov Exp'!AI377-'Gov Exp'!AK377</f>
        <v>0</v>
      </c>
      <c r="AM377" s="15" t="str">
        <f>'Gov Rev'!A374</f>
        <v>Marengo</v>
      </c>
      <c r="AN377" s="15" t="str">
        <f t="shared" si="16"/>
        <v>Marengo</v>
      </c>
      <c r="AO377" s="15" t="b">
        <f t="shared" si="17"/>
        <v>1</v>
      </c>
    </row>
    <row r="378" spans="1:41" s="31" customFormat="1" ht="12" customHeight="1" x14ac:dyDescent="0.2">
      <c r="A378" s="15" t="s">
        <v>384</v>
      </c>
      <c r="B378" s="15"/>
      <c r="C378" s="15" t="s">
        <v>378</v>
      </c>
      <c r="D378" s="15"/>
      <c r="E378" s="24">
        <v>1911139</v>
      </c>
      <c r="F378" s="24"/>
      <c r="G378" s="24">
        <v>7441</v>
      </c>
      <c r="H378" s="24"/>
      <c r="I378" s="24">
        <v>765198</v>
      </c>
      <c r="J378" s="24"/>
      <c r="K378" s="24">
        <v>149235</v>
      </c>
      <c r="L378" s="24"/>
      <c r="M378" s="24">
        <v>273656</v>
      </c>
      <c r="N378" s="24"/>
      <c r="O378" s="24">
        <v>232850</v>
      </c>
      <c r="P378" s="24"/>
      <c r="Q378" s="24">
        <v>643366</v>
      </c>
      <c r="R378" s="24"/>
      <c r="S378" s="24">
        <v>0</v>
      </c>
      <c r="T378" s="24"/>
      <c r="U378" s="24">
        <v>0</v>
      </c>
      <c r="V378" s="24"/>
      <c r="W378" s="24">
        <v>0</v>
      </c>
      <c r="X378" s="24"/>
      <c r="Y378" s="24">
        <v>0</v>
      </c>
      <c r="Z378" s="24"/>
      <c r="AA378" s="24">
        <v>0</v>
      </c>
      <c r="AB378" s="24"/>
      <c r="AC378" s="24">
        <v>0</v>
      </c>
      <c r="AD378" s="24"/>
      <c r="AE378" s="24">
        <f t="shared" si="15"/>
        <v>3982885</v>
      </c>
      <c r="AF378" s="24"/>
      <c r="AG378" s="24">
        <v>171035</v>
      </c>
      <c r="AH378" s="24"/>
      <c r="AI378" s="24">
        <v>2022065</v>
      </c>
      <c r="AJ378" s="24"/>
      <c r="AK378" s="24">
        <v>2193100</v>
      </c>
      <c r="AL378" s="24">
        <f>+'Gov Rev'!AI375-'Gov Exp'!AE378+'Gov Exp'!AI378-'Gov Exp'!AK378</f>
        <v>0</v>
      </c>
      <c r="AM378" s="15" t="str">
        <f>'Gov Rev'!A375</f>
        <v>Mariemont</v>
      </c>
      <c r="AN378" s="15" t="str">
        <f t="shared" si="16"/>
        <v>Mariemont</v>
      </c>
      <c r="AO378" s="15" t="b">
        <f t="shared" si="17"/>
        <v>1</v>
      </c>
    </row>
    <row r="379" spans="1:41" s="29" customFormat="1" ht="12" hidden="1" customHeight="1" x14ac:dyDescent="0.2">
      <c r="A379" s="1" t="s">
        <v>586</v>
      </c>
      <c r="B379" s="1"/>
      <c r="C379" s="1" t="s">
        <v>810</v>
      </c>
      <c r="D379" s="15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>
        <f t="shared" si="15"/>
        <v>0</v>
      </c>
      <c r="AF379" s="24"/>
      <c r="AG379" s="24"/>
      <c r="AH379" s="24"/>
      <c r="AI379" s="24"/>
      <c r="AJ379" s="24"/>
      <c r="AK379" s="24"/>
      <c r="AL379" s="24">
        <f>+'Gov Rev'!AI376-'Gov Exp'!AE379+'Gov Exp'!AI379-'Gov Exp'!AK379</f>
        <v>0</v>
      </c>
      <c r="AM379" s="15" t="str">
        <f>'Gov Rev'!A376</f>
        <v>Marksburg</v>
      </c>
      <c r="AN379" s="15" t="str">
        <f t="shared" si="16"/>
        <v>Marksburg</v>
      </c>
      <c r="AO379" s="15" t="b">
        <f t="shared" si="17"/>
        <v>1</v>
      </c>
    </row>
    <row r="380" spans="1:41" ht="12" customHeight="1" x14ac:dyDescent="0.2">
      <c r="A380" s="15" t="s">
        <v>964</v>
      </c>
      <c r="C380" s="15" t="s">
        <v>609</v>
      </c>
      <c r="E380" s="24">
        <v>1740</v>
      </c>
      <c r="G380" s="24">
        <v>265</v>
      </c>
      <c r="I380" s="24">
        <v>4218</v>
      </c>
      <c r="K380" s="24">
        <v>0</v>
      </c>
      <c r="M380" s="24">
        <v>899</v>
      </c>
      <c r="O380" s="24">
        <v>0</v>
      </c>
      <c r="Q380" s="24">
        <f>399+375+504+150+903+486</f>
        <v>2817</v>
      </c>
      <c r="S380" s="24">
        <v>0</v>
      </c>
      <c r="U380" s="24">
        <v>0</v>
      </c>
      <c r="W380" s="24">
        <v>0</v>
      </c>
      <c r="Y380" s="24">
        <v>0</v>
      </c>
      <c r="AA380" s="24">
        <v>0</v>
      </c>
      <c r="AC380" s="24">
        <v>0</v>
      </c>
      <c r="AE380" s="24">
        <f t="shared" si="15"/>
        <v>9939</v>
      </c>
      <c r="AF380" s="24"/>
      <c r="AG380" s="24">
        <f>'Gov Rev'!AI377-'Gov Exp'!AE380</f>
        <v>4131</v>
      </c>
      <c r="AH380" s="24"/>
      <c r="AI380" s="24">
        <f>AK380-AG380</f>
        <v>52263</v>
      </c>
      <c r="AJ380" s="24"/>
      <c r="AK380" s="24">
        <v>56394</v>
      </c>
      <c r="AL380" s="24">
        <f>+'Gov Rev'!AI377-'Gov Exp'!AE380+'Gov Exp'!AI380-'Gov Exp'!AK380</f>
        <v>0</v>
      </c>
      <c r="AM380" s="15" t="str">
        <f>'Gov Rev'!A377</f>
        <v>Marseilles</v>
      </c>
      <c r="AN380" s="15" t="str">
        <f t="shared" si="16"/>
        <v>Marseilles</v>
      </c>
      <c r="AO380" s="15" t="b">
        <f t="shared" si="17"/>
        <v>1</v>
      </c>
    </row>
    <row r="381" spans="1:41" ht="12" customHeight="1" x14ac:dyDescent="0.2">
      <c r="A381" s="15" t="s">
        <v>680</v>
      </c>
      <c r="C381" s="15" t="s">
        <v>588</v>
      </c>
      <c r="E381" s="24">
        <v>134188</v>
      </c>
      <c r="G381" s="24">
        <v>0</v>
      </c>
      <c r="I381" s="24">
        <v>8545</v>
      </c>
      <c r="K381" s="24">
        <v>0</v>
      </c>
      <c r="M381" s="24">
        <v>0</v>
      </c>
      <c r="O381" s="24">
        <v>19596</v>
      </c>
      <c r="Q381" s="24">
        <v>64244</v>
      </c>
      <c r="S381" s="24">
        <v>9459</v>
      </c>
      <c r="U381" s="24">
        <v>0</v>
      </c>
      <c r="W381" s="24">
        <v>0</v>
      </c>
      <c r="Y381" s="24">
        <v>78137</v>
      </c>
      <c r="AA381" s="24">
        <v>0</v>
      </c>
      <c r="AC381" s="24">
        <v>389</v>
      </c>
      <c r="AE381" s="24">
        <f t="shared" si="15"/>
        <v>314558</v>
      </c>
      <c r="AF381" s="24"/>
      <c r="AG381" s="24">
        <v>12752</v>
      </c>
      <c r="AH381" s="24"/>
      <c r="AI381" s="24">
        <v>346477</v>
      </c>
      <c r="AJ381" s="24"/>
      <c r="AK381" s="24">
        <v>359230</v>
      </c>
      <c r="AL381" s="24">
        <f>+'Gov Rev'!AI378-'Gov Exp'!AE381+'Gov Exp'!AI381-'Gov Exp'!AK381</f>
        <v>0</v>
      </c>
      <c r="AM381" s="15" t="str">
        <f>'Gov Rev'!A378</f>
        <v>Marshallville</v>
      </c>
      <c r="AN381" s="15" t="str">
        <f t="shared" si="16"/>
        <v>Marshallville</v>
      </c>
      <c r="AO381" s="15" t="b">
        <f t="shared" si="17"/>
        <v>1</v>
      </c>
    </row>
    <row r="382" spans="1:41" s="31" customFormat="1" ht="12" customHeight="1" x14ac:dyDescent="0.2">
      <c r="A382" s="1" t="s">
        <v>123</v>
      </c>
      <c r="B382" s="1"/>
      <c r="C382" s="1" t="s">
        <v>771</v>
      </c>
      <c r="D382" s="15"/>
      <c r="E382" s="24">
        <v>400</v>
      </c>
      <c r="F382" s="24"/>
      <c r="G382" s="24">
        <v>2377.5</v>
      </c>
      <c r="H382" s="24"/>
      <c r="I382" s="24">
        <v>667.92</v>
      </c>
      <c r="J382" s="24"/>
      <c r="K382" s="24">
        <v>0</v>
      </c>
      <c r="L382" s="24"/>
      <c r="M382" s="24">
        <v>0</v>
      </c>
      <c r="N382" s="24"/>
      <c r="O382" s="24">
        <v>1590.7</v>
      </c>
      <c r="P382" s="24"/>
      <c r="Q382" s="24">
        <v>23477.16</v>
      </c>
      <c r="R382" s="24"/>
      <c r="S382" s="24">
        <v>0</v>
      </c>
      <c r="T382" s="24"/>
      <c r="U382" s="24">
        <v>0</v>
      </c>
      <c r="V382" s="24"/>
      <c r="W382" s="24">
        <v>0</v>
      </c>
      <c r="X382" s="24"/>
      <c r="Y382" s="24">
        <v>0</v>
      </c>
      <c r="Z382" s="24"/>
      <c r="AA382" s="24">
        <v>0</v>
      </c>
      <c r="AB382" s="24"/>
      <c r="AC382" s="24">
        <v>0</v>
      </c>
      <c r="AD382" s="24"/>
      <c r="AE382" s="24">
        <f t="shared" si="15"/>
        <v>28513.279999999999</v>
      </c>
      <c r="AF382" s="24"/>
      <c r="AG382" s="24">
        <v>-2402.96</v>
      </c>
      <c r="AH382" s="24"/>
      <c r="AI382" s="24">
        <v>9247.4599999999991</v>
      </c>
      <c r="AJ382" s="24"/>
      <c r="AK382" s="24">
        <v>6844.5</v>
      </c>
      <c r="AL382" s="24">
        <f>+'Gov Rev'!AI379-'Gov Exp'!AE382+'Gov Exp'!AI382-'Gov Exp'!AK382</f>
        <v>0</v>
      </c>
      <c r="AM382" s="15" t="str">
        <f>'Gov Rev'!A379</f>
        <v>Martinsburg</v>
      </c>
      <c r="AN382" s="15" t="str">
        <f t="shared" si="16"/>
        <v>Martinsburg</v>
      </c>
      <c r="AO382" s="15" t="b">
        <f t="shared" si="17"/>
        <v>1</v>
      </c>
    </row>
    <row r="383" spans="1:41" s="31" customFormat="1" ht="12" customHeight="1" x14ac:dyDescent="0.2">
      <c r="A383" s="1" t="s">
        <v>301</v>
      </c>
      <c r="B383" s="1"/>
      <c r="C383" s="1" t="s">
        <v>299</v>
      </c>
      <c r="D383" s="15"/>
      <c r="E383" s="24">
        <v>7176.56</v>
      </c>
      <c r="F383" s="24"/>
      <c r="G383" s="24">
        <v>0</v>
      </c>
      <c r="H383" s="24"/>
      <c r="I383" s="24">
        <v>0</v>
      </c>
      <c r="J383" s="24"/>
      <c r="K383" s="24">
        <v>0</v>
      </c>
      <c r="L383" s="24"/>
      <c r="M383" s="24">
        <v>0</v>
      </c>
      <c r="N383" s="24"/>
      <c r="O383" s="24">
        <v>15358.31</v>
      </c>
      <c r="P383" s="24"/>
      <c r="Q383" s="24">
        <v>36109.79</v>
      </c>
      <c r="R383" s="24"/>
      <c r="S383" s="24">
        <v>0</v>
      </c>
      <c r="T383" s="24"/>
      <c r="U383" s="24">
        <v>0</v>
      </c>
      <c r="V383" s="24"/>
      <c r="W383" s="24">
        <v>0</v>
      </c>
      <c r="X383" s="24"/>
      <c r="Y383" s="24">
        <v>0</v>
      </c>
      <c r="Z383" s="24"/>
      <c r="AA383" s="24">
        <v>0</v>
      </c>
      <c r="AB383" s="24"/>
      <c r="AC383" s="24">
        <v>0</v>
      </c>
      <c r="AD383" s="24"/>
      <c r="AE383" s="24">
        <f t="shared" si="15"/>
        <v>58644.66</v>
      </c>
      <c r="AF383" s="24"/>
      <c r="AG383" s="24">
        <v>-8255.31</v>
      </c>
      <c r="AH383" s="24"/>
      <c r="AI383" s="24">
        <v>37437.919999999998</v>
      </c>
      <c r="AJ383" s="24"/>
      <c r="AK383" s="24">
        <v>29182.61</v>
      </c>
      <c r="AL383" s="24">
        <f>+'Gov Rev'!AI380-'Gov Exp'!AE383+'Gov Exp'!AI383-'Gov Exp'!AK383</f>
        <v>0</v>
      </c>
      <c r="AM383" s="15" t="str">
        <f>'Gov Rev'!A380</f>
        <v>Martinsville</v>
      </c>
      <c r="AN383" s="15" t="str">
        <f t="shared" si="16"/>
        <v>Martinsville</v>
      </c>
      <c r="AO383" s="15" t="b">
        <f t="shared" si="17"/>
        <v>1</v>
      </c>
    </row>
    <row r="384" spans="1:41" ht="12" customHeight="1" x14ac:dyDescent="0.2">
      <c r="A384" s="1" t="s">
        <v>247</v>
      </c>
      <c r="B384" s="1"/>
      <c r="C384" s="1" t="s">
        <v>810</v>
      </c>
      <c r="D384" s="24"/>
      <c r="E384" s="24">
        <v>51621.83</v>
      </c>
      <c r="G384" s="24">
        <v>1975.01</v>
      </c>
      <c r="I384" s="24">
        <v>4192.8999999999996</v>
      </c>
      <c r="K384" s="24">
        <v>0</v>
      </c>
      <c r="M384" s="24">
        <v>10003.93</v>
      </c>
      <c r="O384" s="24">
        <v>42113.72</v>
      </c>
      <c r="Q384" s="24">
        <v>33456.89</v>
      </c>
      <c r="S384" s="24">
        <v>1316.76</v>
      </c>
      <c r="U384" s="24">
        <v>0</v>
      </c>
      <c r="W384" s="24">
        <v>0</v>
      </c>
      <c r="Y384" s="24">
        <v>0</v>
      </c>
      <c r="AA384" s="24">
        <v>0</v>
      </c>
      <c r="AC384" s="24">
        <v>0</v>
      </c>
      <c r="AE384" s="24">
        <f t="shared" si="15"/>
        <v>144681.04000000004</v>
      </c>
      <c r="AF384" s="24"/>
      <c r="AG384" s="24">
        <v>-14306.2</v>
      </c>
      <c r="AH384" s="24"/>
      <c r="AI384" s="24">
        <v>99718.52</v>
      </c>
      <c r="AJ384" s="24"/>
      <c r="AK384" s="24">
        <v>85412.32</v>
      </c>
      <c r="AL384" s="24">
        <f>+'Gov Rev'!AI381-'Gov Exp'!AE384+'Gov Exp'!AI384-'Gov Exp'!AK384</f>
        <v>0</v>
      </c>
      <c r="AM384" s="15" t="str">
        <f>'Gov Rev'!A381</f>
        <v>Matamoras</v>
      </c>
      <c r="AN384" s="15" t="str">
        <f t="shared" si="16"/>
        <v>Matamoras</v>
      </c>
      <c r="AO384" s="15" t="b">
        <f t="shared" si="17"/>
        <v>1</v>
      </c>
    </row>
    <row r="385" spans="1:41" s="31" customFormat="1" ht="12" customHeight="1" x14ac:dyDescent="0.2">
      <c r="A385" s="15" t="s">
        <v>322</v>
      </c>
      <c r="B385" s="15"/>
      <c r="C385" s="15" t="s">
        <v>316</v>
      </c>
      <c r="D385" s="15"/>
      <c r="E385" s="24">
        <v>5472669</v>
      </c>
      <c r="F385" s="24"/>
      <c r="G385" s="24">
        <v>18279</v>
      </c>
      <c r="H385" s="24"/>
      <c r="I385" s="24">
        <v>950589</v>
      </c>
      <c r="J385" s="24"/>
      <c r="K385" s="24">
        <v>363179</v>
      </c>
      <c r="L385" s="24"/>
      <c r="M385" s="24">
        <v>261617</v>
      </c>
      <c r="N385" s="24"/>
      <c r="O385" s="24">
        <v>2216745</v>
      </c>
      <c r="P385" s="24"/>
      <c r="Q385" s="24">
        <v>2565186</v>
      </c>
      <c r="R385" s="24"/>
      <c r="S385" s="24">
        <v>2121904</v>
      </c>
      <c r="T385" s="24"/>
      <c r="U385" s="24">
        <v>4135154</v>
      </c>
      <c r="V385" s="24"/>
      <c r="W385" s="24">
        <v>377377</v>
      </c>
      <c r="X385" s="24"/>
      <c r="Y385" s="24">
        <v>2046215</v>
      </c>
      <c r="Z385" s="24"/>
      <c r="AA385" s="24">
        <v>0</v>
      </c>
      <c r="AB385" s="24"/>
      <c r="AC385" s="24">
        <v>0</v>
      </c>
      <c r="AD385" s="24"/>
      <c r="AE385" s="24">
        <f t="shared" si="15"/>
        <v>20528914</v>
      </c>
      <c r="AF385" s="24"/>
      <c r="AG385" s="24">
        <v>4268731</v>
      </c>
      <c r="AH385" s="24"/>
      <c r="AI385" s="24">
        <v>8504714</v>
      </c>
      <c r="AJ385" s="24"/>
      <c r="AK385" s="24">
        <v>12773445</v>
      </c>
      <c r="AL385" s="24">
        <f>+'Gov Rev'!AI382-'Gov Exp'!AE385+'Gov Exp'!AI385-'Gov Exp'!AK385</f>
        <v>0</v>
      </c>
      <c r="AM385" s="15" t="str">
        <f>'Gov Rev'!A382</f>
        <v>Mayfield</v>
      </c>
      <c r="AN385" s="15" t="str">
        <f t="shared" si="16"/>
        <v>Mayfield</v>
      </c>
      <c r="AO385" s="15" t="b">
        <f t="shared" si="17"/>
        <v>1</v>
      </c>
    </row>
    <row r="386" spans="1:41" ht="12" customHeight="1" x14ac:dyDescent="0.2">
      <c r="A386" s="15" t="s">
        <v>302</v>
      </c>
      <c r="C386" s="1" t="s">
        <v>82</v>
      </c>
      <c r="E386" s="24">
        <v>340460.12</v>
      </c>
      <c r="G386" s="24">
        <v>0</v>
      </c>
      <c r="I386" s="24">
        <v>25956.03</v>
      </c>
      <c r="K386" s="24">
        <v>0</v>
      </c>
      <c r="M386" s="24">
        <v>410</v>
      </c>
      <c r="O386" s="24">
        <v>123947.72</v>
      </c>
      <c r="Q386" s="24">
        <v>144840.94</v>
      </c>
      <c r="S386" s="24">
        <v>139441</v>
      </c>
      <c r="U386" s="24">
        <v>1002.07</v>
      </c>
      <c r="W386" s="24">
        <v>175.04</v>
      </c>
      <c r="Y386" s="24">
        <v>0</v>
      </c>
      <c r="AA386" s="24">
        <v>0</v>
      </c>
      <c r="AC386" s="24">
        <v>44</v>
      </c>
      <c r="AE386" s="24">
        <f t="shared" si="15"/>
        <v>776276.92</v>
      </c>
      <c r="AF386" s="24"/>
      <c r="AG386" s="24">
        <v>-19514.060000000001</v>
      </c>
      <c r="AH386" s="24"/>
      <c r="AI386" s="24">
        <v>438621.94</v>
      </c>
      <c r="AJ386" s="24"/>
      <c r="AK386" s="24">
        <v>419107.88</v>
      </c>
      <c r="AL386" s="24">
        <f>+'Gov Rev'!AI386-'Gov Exp'!AE386+'Gov Exp'!AI386-'Gov Exp'!AK386</f>
        <v>0</v>
      </c>
      <c r="AM386" s="15" t="str">
        <f>'Gov Rev'!A386</f>
        <v>McArthur</v>
      </c>
      <c r="AN386" s="15" t="str">
        <f t="shared" si="16"/>
        <v>McArthur</v>
      </c>
      <c r="AO386" s="15" t="b">
        <f t="shared" si="17"/>
        <v>1</v>
      </c>
    </row>
    <row r="387" spans="1:41" ht="12" customHeight="1" x14ac:dyDescent="0.2">
      <c r="A387" s="1" t="s">
        <v>108</v>
      </c>
      <c r="B387" s="1"/>
      <c r="C387" s="1" t="s">
        <v>766</v>
      </c>
      <c r="E387" s="24">
        <v>11159.68</v>
      </c>
      <c r="G387" s="24">
        <v>0</v>
      </c>
      <c r="I387" s="24">
        <v>1674.41</v>
      </c>
      <c r="K387" s="24">
        <v>100</v>
      </c>
      <c r="M387" s="24">
        <v>0</v>
      </c>
      <c r="O387" s="24">
        <v>30098.52</v>
      </c>
      <c r="Q387" s="24">
        <v>86535.19</v>
      </c>
      <c r="S387" s="24">
        <v>0</v>
      </c>
      <c r="U387" s="24">
        <v>4832.5</v>
      </c>
      <c r="W387" s="24">
        <v>3712.7</v>
      </c>
      <c r="Y387" s="24">
        <v>0</v>
      </c>
      <c r="AA387" s="24">
        <v>0</v>
      </c>
      <c r="AC387" s="24">
        <v>0</v>
      </c>
      <c r="AE387" s="24">
        <f t="shared" si="15"/>
        <v>138113</v>
      </c>
      <c r="AF387" s="24"/>
      <c r="AG387" s="24">
        <v>127216.56</v>
      </c>
      <c r="AH387" s="24"/>
      <c r="AI387" s="24">
        <v>66018.67</v>
      </c>
      <c r="AJ387" s="24"/>
      <c r="AK387" s="24">
        <v>193235.23</v>
      </c>
      <c r="AL387" s="24">
        <f>+'Gov Rev'!AI387-'Gov Exp'!AE387+'Gov Exp'!AI387-'Gov Exp'!AK387</f>
        <v>0</v>
      </c>
      <c r="AM387" s="15" t="str">
        <f>'Gov Rev'!A387</f>
        <v>Mcclure</v>
      </c>
      <c r="AN387" s="15" t="str">
        <f t="shared" si="16"/>
        <v>Mcclure</v>
      </c>
      <c r="AO387" s="15" t="b">
        <f t="shared" si="17"/>
        <v>1</v>
      </c>
    </row>
    <row r="388" spans="1:41" ht="12" customHeight="1" x14ac:dyDescent="0.2">
      <c r="A388" s="15" t="s">
        <v>389</v>
      </c>
      <c r="C388" s="15" t="s">
        <v>388</v>
      </c>
      <c r="E388" s="24">
        <v>232568</v>
      </c>
      <c r="G388" s="24">
        <v>41342</v>
      </c>
      <c r="I388" s="24">
        <v>83957</v>
      </c>
      <c r="K388" s="24">
        <v>2925</v>
      </c>
      <c r="M388" s="24">
        <v>1620</v>
      </c>
      <c r="O388" s="24">
        <v>377037</v>
      </c>
      <c r="Q388" s="24">
        <f>264085-1</f>
        <v>264084</v>
      </c>
      <c r="S388" s="24">
        <v>346923</v>
      </c>
      <c r="U388" s="24">
        <v>59820</v>
      </c>
      <c r="W388" s="24">
        <v>22339</v>
      </c>
      <c r="Y388" s="24">
        <v>387635</v>
      </c>
      <c r="AA388" s="24">
        <v>0</v>
      </c>
      <c r="AC388" s="24">
        <v>0</v>
      </c>
      <c r="AE388" s="24">
        <f t="shared" si="15"/>
        <v>1820250</v>
      </c>
      <c r="AF388" s="24"/>
      <c r="AG388" s="24">
        <v>-305769</v>
      </c>
      <c r="AH388" s="24"/>
      <c r="AI388" s="24">
        <f>AK388-AG388</f>
        <v>1652063</v>
      </c>
      <c r="AJ388" s="24"/>
      <c r="AK388" s="24">
        <v>1346294</v>
      </c>
      <c r="AL388" s="24">
        <f>+'Gov Rev'!AI388-'Gov Exp'!AE388+'Gov Exp'!AI388-'Gov Exp'!AK388</f>
        <v>0</v>
      </c>
      <c r="AM388" s="15" t="str">
        <f>'Gov Rev'!A388</f>
        <v>McComb</v>
      </c>
      <c r="AN388" s="15" t="str">
        <f t="shared" si="16"/>
        <v>McComb</v>
      </c>
      <c r="AO388" s="15" t="b">
        <f t="shared" si="17"/>
        <v>1</v>
      </c>
    </row>
    <row r="389" spans="1:41" ht="12" customHeight="1" x14ac:dyDescent="0.2">
      <c r="A389" s="1" t="s">
        <v>168</v>
      </c>
      <c r="B389" s="1"/>
      <c r="C389" s="1" t="s">
        <v>787</v>
      </c>
      <c r="E389" s="24">
        <v>374353.7</v>
      </c>
      <c r="G389" s="24">
        <v>10064.41</v>
      </c>
      <c r="I389" s="24">
        <v>127305.3</v>
      </c>
      <c r="K389" s="24">
        <v>0</v>
      </c>
      <c r="M389" s="24">
        <v>0</v>
      </c>
      <c r="O389" s="24">
        <v>116698.45</v>
      </c>
      <c r="Q389" s="24">
        <v>241890.6</v>
      </c>
      <c r="S389" s="24">
        <v>1089123.27</v>
      </c>
      <c r="U389" s="24">
        <v>3845</v>
      </c>
      <c r="W389" s="24">
        <v>458.44</v>
      </c>
      <c r="Y389" s="24">
        <v>2.1</v>
      </c>
      <c r="AA389" s="24">
        <v>0</v>
      </c>
      <c r="AC389" s="24">
        <v>196.34</v>
      </c>
      <c r="AE389" s="24">
        <f t="shared" si="15"/>
        <v>1963937.61</v>
      </c>
      <c r="AF389" s="24"/>
      <c r="AG389" s="24">
        <v>-3369.48</v>
      </c>
      <c r="AH389" s="24"/>
      <c r="AI389" s="24">
        <v>378205.71</v>
      </c>
      <c r="AJ389" s="24"/>
      <c r="AK389" s="24">
        <v>374836.23</v>
      </c>
      <c r="AL389" s="24">
        <f>+'Gov Rev'!AI389-'Gov Exp'!AE389+'Gov Exp'!AI389-'Gov Exp'!AK389</f>
        <v>0</v>
      </c>
      <c r="AM389" s="15" t="str">
        <f>'Gov Rev'!A389</f>
        <v>Mcconnelsville</v>
      </c>
      <c r="AN389" s="15" t="str">
        <f t="shared" si="16"/>
        <v>Mcconnelsville</v>
      </c>
      <c r="AO389" s="15" t="b">
        <f t="shared" si="17"/>
        <v>1</v>
      </c>
    </row>
    <row r="390" spans="1:41" ht="12" customHeight="1" x14ac:dyDescent="0.2">
      <c r="A390" s="15" t="s">
        <v>558</v>
      </c>
      <c r="C390" s="15" t="s">
        <v>557</v>
      </c>
      <c r="E390" s="24">
        <v>550818</v>
      </c>
      <c r="G390" s="24">
        <v>5000</v>
      </c>
      <c r="I390" s="24">
        <v>21200</v>
      </c>
      <c r="K390" s="24">
        <v>6750</v>
      </c>
      <c r="M390" s="24">
        <v>125000</v>
      </c>
      <c r="O390" s="24">
        <v>238947</v>
      </c>
      <c r="Q390" s="24">
        <v>422712</v>
      </c>
      <c r="S390" s="24">
        <v>209676</v>
      </c>
      <c r="U390" s="24">
        <v>0</v>
      </c>
      <c r="W390" s="24">
        <v>0</v>
      </c>
      <c r="Y390" s="24">
        <v>0</v>
      </c>
      <c r="AA390" s="24">
        <v>0</v>
      </c>
      <c r="AC390" s="24">
        <v>0</v>
      </c>
      <c r="AE390" s="24">
        <f t="shared" si="15"/>
        <v>1580103</v>
      </c>
      <c r="AF390" s="24"/>
      <c r="AG390" s="24">
        <v>94915</v>
      </c>
      <c r="AH390" s="24"/>
      <c r="AI390" s="24">
        <v>186950</v>
      </c>
      <c r="AJ390" s="24"/>
      <c r="AK390" s="24">
        <v>281865</v>
      </c>
      <c r="AL390" s="24">
        <f>+'Gov Rev'!AI390-'Gov Exp'!AE390+'Gov Exp'!AI390-'Gov Exp'!AK390</f>
        <v>0</v>
      </c>
      <c r="AM390" s="15" t="str">
        <f>'Gov Rev'!A390</f>
        <v>McDonald</v>
      </c>
      <c r="AN390" s="15" t="str">
        <f t="shared" si="16"/>
        <v>McDonald</v>
      </c>
      <c r="AO390" s="15" t="b">
        <f t="shared" si="17"/>
        <v>1</v>
      </c>
    </row>
    <row r="391" spans="1:41" ht="12" customHeight="1" x14ac:dyDescent="0.2">
      <c r="A391" s="15" t="s">
        <v>399</v>
      </c>
      <c r="C391" s="15" t="s">
        <v>396</v>
      </c>
      <c r="E391" s="24">
        <f>39141+7272</f>
        <v>46413</v>
      </c>
      <c r="G391" s="24">
        <v>1454</v>
      </c>
      <c r="I391" s="24">
        <v>220</v>
      </c>
      <c r="K391" s="24">
        <v>0</v>
      </c>
      <c r="M391" s="24">
        <f>1265+9625</f>
        <v>10890</v>
      </c>
      <c r="O391" s="24">
        <f>9466+5285</f>
        <v>14751</v>
      </c>
      <c r="Q391" s="24">
        <f>27500+1569</f>
        <v>29069</v>
      </c>
      <c r="S391" s="24">
        <v>0</v>
      </c>
      <c r="U391" s="24">
        <v>0</v>
      </c>
      <c r="W391" s="24">
        <v>0</v>
      </c>
      <c r="Y391" s="24">
        <v>0</v>
      </c>
      <c r="AA391" s="24">
        <v>0</v>
      </c>
      <c r="AC391" s="24">
        <v>0</v>
      </c>
      <c r="AE391" s="24">
        <f t="shared" si="15"/>
        <v>102797</v>
      </c>
      <c r="AF391" s="24"/>
      <c r="AG391" s="24">
        <f>49118+7334</f>
        <v>56452</v>
      </c>
      <c r="AH391" s="24"/>
      <c r="AI391" s="24">
        <f>84018+154743</f>
        <v>238761</v>
      </c>
      <c r="AJ391" s="24"/>
      <c r="AK391" s="24">
        <f>133136+162077</f>
        <v>295213</v>
      </c>
      <c r="AL391" s="24">
        <f>+'Gov Rev'!AI391-'Gov Exp'!AE391+'Gov Exp'!AI391-'Gov Exp'!AK391</f>
        <v>0</v>
      </c>
      <c r="AM391" s="15" t="str">
        <f>'Gov Rev'!A391</f>
        <v>Mcguffey</v>
      </c>
      <c r="AN391" s="15" t="str">
        <f t="shared" si="16"/>
        <v>Mcguffey</v>
      </c>
      <c r="AO391" s="15" t="b">
        <f t="shared" si="17"/>
        <v>1</v>
      </c>
    </row>
    <row r="392" spans="1:41" ht="12" hidden="1" customHeight="1" x14ac:dyDescent="0.2">
      <c r="A392" s="1" t="s">
        <v>286</v>
      </c>
      <c r="B392" s="1"/>
      <c r="C392" s="1" t="s">
        <v>287</v>
      </c>
      <c r="AE392" s="24">
        <f t="shared" si="15"/>
        <v>0</v>
      </c>
      <c r="AF392" s="24"/>
      <c r="AG392" s="24"/>
      <c r="AH392" s="24"/>
      <c r="AI392" s="24"/>
      <c r="AJ392" s="24"/>
      <c r="AK392" s="24"/>
      <c r="AL392" s="24">
        <f>+'Gov Rev'!AI392-'Gov Exp'!AE392+'Gov Exp'!AI392-'Gov Exp'!AK392</f>
        <v>0</v>
      </c>
      <c r="AM392" s="15" t="str">
        <f>'Gov Rev'!A392</f>
        <v>Mechanicsburg</v>
      </c>
      <c r="AN392" s="15" t="str">
        <f t="shared" si="16"/>
        <v>Mechanicsburg</v>
      </c>
      <c r="AO392" s="15" t="b">
        <f t="shared" si="17"/>
        <v>1</v>
      </c>
    </row>
    <row r="393" spans="1:41" ht="12" customHeight="1" x14ac:dyDescent="0.2">
      <c r="A393" s="1" t="s">
        <v>185</v>
      </c>
      <c r="B393" s="1"/>
      <c r="C393" s="1" t="s">
        <v>792</v>
      </c>
      <c r="D393" s="37"/>
      <c r="E393" s="24">
        <v>12969.1</v>
      </c>
      <c r="G393" s="24">
        <v>0</v>
      </c>
      <c r="I393" s="24">
        <v>0</v>
      </c>
      <c r="K393" s="24">
        <v>0</v>
      </c>
      <c r="M393" s="24">
        <v>0</v>
      </c>
      <c r="O393" s="24">
        <v>9657.7800000000007</v>
      </c>
      <c r="Q393" s="24">
        <v>21815.69</v>
      </c>
      <c r="S393" s="24">
        <v>0</v>
      </c>
      <c r="U393" s="24">
        <v>0</v>
      </c>
      <c r="W393" s="24">
        <v>0</v>
      </c>
      <c r="Y393" s="24">
        <v>0</v>
      </c>
      <c r="AA393" s="24">
        <v>0</v>
      </c>
      <c r="AC393" s="24">
        <v>0</v>
      </c>
      <c r="AE393" s="24">
        <f t="shared" si="15"/>
        <v>44442.57</v>
      </c>
      <c r="AF393" s="24"/>
      <c r="AG393" s="24">
        <v>11671.02</v>
      </c>
      <c r="AH393" s="24"/>
      <c r="AI393" s="24">
        <v>52599.78</v>
      </c>
      <c r="AJ393" s="24"/>
      <c r="AK393" s="24">
        <v>64270.8</v>
      </c>
      <c r="AL393" s="24">
        <f>+'Gov Rev'!AI393-'Gov Exp'!AE393+'Gov Exp'!AI393-'Gov Exp'!AK393</f>
        <v>0</v>
      </c>
      <c r="AM393" s="15" t="str">
        <f>'Gov Rev'!A393</f>
        <v>Melrose</v>
      </c>
      <c r="AN393" s="15" t="str">
        <f t="shared" si="16"/>
        <v>Melrose</v>
      </c>
      <c r="AO393" s="15" t="b">
        <f t="shared" si="17"/>
        <v>1</v>
      </c>
    </row>
    <row r="394" spans="1:41" ht="12" customHeight="1" x14ac:dyDescent="0.2">
      <c r="A394" s="1" t="s">
        <v>834</v>
      </c>
      <c r="B394" s="1"/>
      <c r="C394" s="1" t="s">
        <v>783</v>
      </c>
      <c r="E394" s="24">
        <v>11002.11</v>
      </c>
      <c r="G394" s="24">
        <v>9123.02</v>
      </c>
      <c r="I394" s="24">
        <v>13672.86</v>
      </c>
      <c r="K394" s="24">
        <v>0</v>
      </c>
      <c r="M394" s="24">
        <v>0</v>
      </c>
      <c r="O394" s="24">
        <v>37523.370000000003</v>
      </c>
      <c r="Q394" s="24">
        <v>24627.63</v>
      </c>
      <c r="S394" s="24">
        <v>223.63</v>
      </c>
      <c r="U394" s="24">
        <v>0</v>
      </c>
      <c r="W394" s="24">
        <v>0</v>
      </c>
      <c r="Y394" s="24">
        <v>0</v>
      </c>
      <c r="AA394" s="24">
        <v>0</v>
      </c>
      <c r="AC394" s="24">
        <v>0</v>
      </c>
      <c r="AE394" s="24">
        <f t="shared" si="15"/>
        <v>96172.620000000024</v>
      </c>
      <c r="AF394" s="24"/>
      <c r="AG394" s="24">
        <v>-5864.7</v>
      </c>
      <c r="AH394" s="24"/>
      <c r="AI394" s="24">
        <v>71907.649999999994</v>
      </c>
      <c r="AJ394" s="24"/>
      <c r="AK394" s="24">
        <v>66042.95</v>
      </c>
      <c r="AL394" s="24">
        <f>+'Gov Rev'!AI394-'Gov Exp'!AE394+'Gov Exp'!AI394-'Gov Exp'!AK394</f>
        <v>0</v>
      </c>
      <c r="AM394" s="15" t="str">
        <f>'Gov Rev'!A394</f>
        <v>Mendon</v>
      </c>
      <c r="AN394" s="15" t="str">
        <f t="shared" si="16"/>
        <v>Mendon</v>
      </c>
      <c r="AO394" s="15" t="b">
        <f t="shared" si="17"/>
        <v>1</v>
      </c>
    </row>
    <row r="395" spans="1:41" ht="12" customHeight="1" x14ac:dyDescent="0.2">
      <c r="A395" s="15" t="s">
        <v>361</v>
      </c>
      <c r="C395" s="15" t="s">
        <v>358</v>
      </c>
      <c r="E395" s="24">
        <v>14397</v>
      </c>
      <c r="G395" s="24">
        <v>0</v>
      </c>
      <c r="I395" s="24">
        <v>23916</v>
      </c>
      <c r="K395" s="24">
        <v>11597</v>
      </c>
      <c r="M395" s="24">
        <v>0</v>
      </c>
      <c r="O395" s="24">
        <v>13597</v>
      </c>
      <c r="Q395" s="24">
        <f>155790-2</f>
        <v>155788</v>
      </c>
      <c r="S395" s="24">
        <v>25024</v>
      </c>
      <c r="U395" s="24">
        <v>2010</v>
      </c>
      <c r="W395" s="24">
        <v>0</v>
      </c>
      <c r="Y395" s="24">
        <v>80000</v>
      </c>
      <c r="AA395" s="24">
        <v>0</v>
      </c>
      <c r="AC395" s="24">
        <v>0</v>
      </c>
      <c r="AE395" s="24">
        <f t="shared" si="15"/>
        <v>326329</v>
      </c>
      <c r="AF395" s="24"/>
      <c r="AG395" s="24">
        <v>52404</v>
      </c>
      <c r="AH395" s="24"/>
      <c r="AI395" s="24">
        <v>239389</v>
      </c>
      <c r="AJ395" s="24"/>
      <c r="AK395" s="24">
        <v>291794</v>
      </c>
      <c r="AL395" s="24">
        <f>+'Gov Rev'!AI395-'Gov Exp'!AE395+'Gov Exp'!AI395-'Gov Exp'!AK395</f>
        <v>0</v>
      </c>
      <c r="AM395" s="15" t="str">
        <f>'Gov Rev'!A395</f>
        <v>Metamora</v>
      </c>
      <c r="AN395" s="15" t="str">
        <f t="shared" si="16"/>
        <v>Metamora</v>
      </c>
      <c r="AO395" s="15" t="b">
        <f t="shared" si="17"/>
        <v>1</v>
      </c>
    </row>
    <row r="396" spans="1:41" ht="12" customHeight="1" x14ac:dyDescent="0.2">
      <c r="A396" s="1" t="s">
        <v>227</v>
      </c>
      <c r="B396" s="1"/>
      <c r="C396" s="1" t="s">
        <v>804</v>
      </c>
      <c r="E396" s="24">
        <v>13958.11</v>
      </c>
      <c r="G396" s="24">
        <v>5211</v>
      </c>
      <c r="I396" s="24">
        <v>0</v>
      </c>
      <c r="K396" s="24">
        <v>24279.21</v>
      </c>
      <c r="M396" s="24">
        <v>18860.400000000001</v>
      </c>
      <c r="O396" s="24">
        <v>0</v>
      </c>
      <c r="Q396" s="24">
        <v>68056.399999999994</v>
      </c>
      <c r="S396" s="24">
        <v>180</v>
      </c>
      <c r="U396" s="24">
        <v>0</v>
      </c>
      <c r="W396" s="24">
        <v>0</v>
      </c>
      <c r="Y396" s="24">
        <v>0</v>
      </c>
      <c r="AA396" s="24">
        <v>0</v>
      </c>
      <c r="AC396" s="24">
        <v>218.5</v>
      </c>
      <c r="AE396" s="24">
        <f t="shared" si="15"/>
        <v>130763.62</v>
      </c>
      <c r="AF396" s="24"/>
      <c r="AG396" s="24">
        <v>24259.97</v>
      </c>
      <c r="AH396" s="24"/>
      <c r="AI396" s="24">
        <v>372184.98</v>
      </c>
      <c r="AJ396" s="24"/>
      <c r="AK396" s="24">
        <v>396444.95</v>
      </c>
      <c r="AL396" s="24">
        <f>+'Gov Rev'!AI396-'Gov Exp'!AE396+'Gov Exp'!AI396-'Gov Exp'!AK396</f>
        <v>0</v>
      </c>
      <c r="AM396" s="15" t="str">
        <f>'Gov Rev'!A396</f>
        <v>Meyers Lake</v>
      </c>
      <c r="AN396" s="15" t="str">
        <f t="shared" si="16"/>
        <v>Meyers Lake</v>
      </c>
      <c r="AO396" s="15" t="b">
        <f t="shared" si="17"/>
        <v>1</v>
      </c>
    </row>
    <row r="397" spans="1:41" ht="12" customHeight="1" x14ac:dyDescent="0.2">
      <c r="A397" s="1" t="s">
        <v>929</v>
      </c>
      <c r="B397" s="1"/>
      <c r="C397" s="1" t="s">
        <v>572</v>
      </c>
      <c r="D397" s="24"/>
      <c r="E397" s="24">
        <v>95852.19</v>
      </c>
      <c r="G397" s="24">
        <v>3559.6</v>
      </c>
      <c r="I397" s="24">
        <v>0</v>
      </c>
      <c r="K397" s="24">
        <v>12566.31</v>
      </c>
      <c r="M397" s="24">
        <v>0</v>
      </c>
      <c r="O397" s="24">
        <v>11849.67</v>
      </c>
      <c r="Q397" s="24">
        <v>62741.26</v>
      </c>
      <c r="S397" s="24">
        <v>7607.25</v>
      </c>
      <c r="U397" s="24">
        <v>0</v>
      </c>
      <c r="W397" s="24">
        <v>0</v>
      </c>
      <c r="Y397" s="24">
        <v>10607.87</v>
      </c>
      <c r="AA397" s="24">
        <v>5000</v>
      </c>
      <c r="AC397" s="24">
        <v>0</v>
      </c>
      <c r="AE397" s="24">
        <f t="shared" si="15"/>
        <v>209784.15</v>
      </c>
      <c r="AF397" s="24"/>
      <c r="AG397" s="24">
        <v>82183.649999999994</v>
      </c>
      <c r="AH397" s="24"/>
      <c r="AI397" s="24">
        <v>213604.34</v>
      </c>
      <c r="AJ397" s="24"/>
      <c r="AK397" s="24">
        <v>295787.99</v>
      </c>
      <c r="AL397" s="24">
        <f>+'Gov Rev'!AI397-'Gov Exp'!AE397+'Gov Exp'!AI397-'Gov Exp'!AK397</f>
        <v>0</v>
      </c>
      <c r="AM397" s="15" t="str">
        <f>'Gov Rev'!A397</f>
        <v>Middle Point</v>
      </c>
      <c r="AN397" s="15" t="str">
        <f t="shared" si="16"/>
        <v>Middle Point</v>
      </c>
      <c r="AO397" s="15" t="b">
        <f t="shared" si="17"/>
        <v>1</v>
      </c>
    </row>
    <row r="398" spans="1:41" ht="12" customHeight="1" x14ac:dyDescent="0.2">
      <c r="A398" s="15" t="s">
        <v>367</v>
      </c>
      <c r="C398" s="15" t="s">
        <v>368</v>
      </c>
      <c r="E398" s="24">
        <v>1041797</v>
      </c>
      <c r="G398" s="24">
        <v>21503</v>
      </c>
      <c r="I398" s="24">
        <v>284932</v>
      </c>
      <c r="K398" s="24">
        <v>78304</v>
      </c>
      <c r="M398" s="24">
        <v>0</v>
      </c>
      <c r="O398" s="24">
        <v>297842</v>
      </c>
      <c r="Q398" s="24">
        <v>644009</v>
      </c>
      <c r="S398" s="24">
        <v>60704</v>
      </c>
      <c r="U398" s="24">
        <v>864791</v>
      </c>
      <c r="W398" s="24">
        <v>127066</v>
      </c>
      <c r="Y398" s="24">
        <v>1514500</v>
      </c>
      <c r="AA398" s="24">
        <v>0</v>
      </c>
      <c r="AC398" s="24">
        <v>0</v>
      </c>
      <c r="AE398" s="24">
        <f t="shared" si="15"/>
        <v>4935448</v>
      </c>
      <c r="AF398" s="24"/>
      <c r="AG398" s="24">
        <v>-137278</v>
      </c>
      <c r="AH398" s="24"/>
      <c r="AI398" s="24">
        <v>3143350</v>
      </c>
      <c r="AJ398" s="24"/>
      <c r="AK398" s="24">
        <v>3006072</v>
      </c>
      <c r="AL398" s="24">
        <f>+'Gov Rev'!AI398-'Gov Exp'!AE398+'Gov Exp'!AI398-'Gov Exp'!AK398</f>
        <v>0</v>
      </c>
      <c r="AM398" s="15" t="str">
        <f>'Gov Rev'!A398</f>
        <v>Middlefield</v>
      </c>
      <c r="AN398" s="15" t="str">
        <f t="shared" si="16"/>
        <v>Middlefield</v>
      </c>
      <c r="AO398" s="15" t="b">
        <f t="shared" si="17"/>
        <v>1</v>
      </c>
    </row>
    <row r="399" spans="1:41" s="24" customFormat="1" ht="12" customHeight="1" x14ac:dyDescent="0.2">
      <c r="A399" s="1" t="s">
        <v>156</v>
      </c>
      <c r="B399" s="1"/>
      <c r="C399" s="1" t="s">
        <v>464</v>
      </c>
      <c r="D399" s="15"/>
      <c r="E399" s="24">
        <v>609121.5</v>
      </c>
      <c r="G399" s="24">
        <v>864.08</v>
      </c>
      <c r="I399" s="24">
        <v>42552.85</v>
      </c>
      <c r="K399" s="24">
        <v>0</v>
      </c>
      <c r="M399" s="24">
        <v>176867.07</v>
      </c>
      <c r="O399" s="24">
        <v>116636.62</v>
      </c>
      <c r="Q399" s="24">
        <v>151358.53</v>
      </c>
      <c r="S399" s="24">
        <v>594508.74</v>
      </c>
      <c r="U399" s="24">
        <v>43699.81</v>
      </c>
      <c r="W399" s="24">
        <v>15423.05</v>
      </c>
      <c r="Y399" s="24">
        <v>0</v>
      </c>
      <c r="AA399" s="24">
        <v>0</v>
      </c>
      <c r="AC399" s="24">
        <v>0</v>
      </c>
      <c r="AE399" s="24">
        <f t="shared" si="15"/>
        <v>1751032.25</v>
      </c>
      <c r="AG399" s="24">
        <v>-49932.5</v>
      </c>
      <c r="AI399" s="24">
        <v>329178.49</v>
      </c>
      <c r="AK399" s="24">
        <v>279245.99</v>
      </c>
      <c r="AL399" s="24">
        <f>+'Gov Rev'!AI399-'Gov Exp'!AE399+'Gov Exp'!AI399-'Gov Exp'!AK399</f>
        <v>0</v>
      </c>
      <c r="AM399" s="15" t="str">
        <f>'Gov Rev'!A399</f>
        <v>Middleport</v>
      </c>
      <c r="AN399" s="15" t="str">
        <f t="shared" si="16"/>
        <v>Middleport</v>
      </c>
      <c r="AO399" s="15" t="b">
        <f t="shared" si="17"/>
        <v>1</v>
      </c>
    </row>
    <row r="400" spans="1:41" ht="12" customHeight="1" x14ac:dyDescent="0.2">
      <c r="A400" s="1" t="s">
        <v>891</v>
      </c>
      <c r="B400" s="1"/>
      <c r="C400" s="1" t="s">
        <v>299</v>
      </c>
      <c r="E400" s="24">
        <v>3605.57</v>
      </c>
      <c r="G400" s="24">
        <v>0</v>
      </c>
      <c r="I400" s="24">
        <v>0</v>
      </c>
      <c r="K400" s="24">
        <v>0</v>
      </c>
      <c r="M400" s="24">
        <v>519.14</v>
      </c>
      <c r="O400" s="24">
        <v>235.82</v>
      </c>
      <c r="Q400" s="24">
        <v>23270.86</v>
      </c>
      <c r="S400" s="24">
        <v>0</v>
      </c>
      <c r="U400" s="24">
        <v>0</v>
      </c>
      <c r="W400" s="24">
        <v>0</v>
      </c>
      <c r="Y400" s="24">
        <v>0</v>
      </c>
      <c r="AA400" s="24">
        <v>0</v>
      </c>
      <c r="AC400" s="24">
        <v>0</v>
      </c>
      <c r="AE400" s="24">
        <f t="shared" si="15"/>
        <v>27631.39</v>
      </c>
      <c r="AF400" s="24"/>
      <c r="AG400" s="24">
        <v>12634.5</v>
      </c>
      <c r="AH400" s="24"/>
      <c r="AI400" s="24">
        <v>103976.23</v>
      </c>
      <c r="AJ400" s="24"/>
      <c r="AK400" s="24">
        <v>116610.73</v>
      </c>
      <c r="AL400" s="24">
        <f>+'Gov Rev'!AI400-'Gov Exp'!AE400+'Gov Exp'!AI400-'Gov Exp'!AK400</f>
        <v>0</v>
      </c>
      <c r="AM400" s="15" t="str">
        <f>'Gov Rev'!A400</f>
        <v>Midland</v>
      </c>
      <c r="AN400" s="15" t="str">
        <f t="shared" si="16"/>
        <v>Midland</v>
      </c>
      <c r="AO400" s="15" t="b">
        <f t="shared" si="17"/>
        <v>1</v>
      </c>
    </row>
    <row r="401" spans="1:41" ht="12" customHeight="1" x14ac:dyDescent="0.2">
      <c r="A401" s="1" t="s">
        <v>233</v>
      </c>
      <c r="B401" s="1"/>
      <c r="C401" s="1" t="s">
        <v>806</v>
      </c>
      <c r="E401" s="24">
        <v>59854.04</v>
      </c>
      <c r="G401" s="24">
        <v>0</v>
      </c>
      <c r="I401" s="24">
        <v>9630.25</v>
      </c>
      <c r="K401" s="24">
        <v>0</v>
      </c>
      <c r="M401" s="24">
        <v>20776.060000000001</v>
      </c>
      <c r="O401" s="24">
        <v>66211.289999999994</v>
      </c>
      <c r="Q401" s="24">
        <v>164699.32999999999</v>
      </c>
      <c r="S401" s="24">
        <v>2970.37</v>
      </c>
      <c r="U401" s="24">
        <v>0</v>
      </c>
      <c r="W401" s="24">
        <v>0</v>
      </c>
      <c r="Y401" s="24">
        <v>0</v>
      </c>
      <c r="AA401" s="24">
        <v>0</v>
      </c>
      <c r="AC401" s="24">
        <v>1200</v>
      </c>
      <c r="AE401" s="24">
        <f t="shared" si="15"/>
        <v>325341.33999999997</v>
      </c>
      <c r="AF401" s="24"/>
      <c r="AG401" s="24">
        <v>104435.26</v>
      </c>
      <c r="AH401" s="24"/>
      <c r="AI401" s="24">
        <v>116129.12</v>
      </c>
      <c r="AJ401" s="24"/>
      <c r="AK401" s="24">
        <v>220564.38</v>
      </c>
      <c r="AL401" s="24">
        <f>+'Gov Rev'!AI401-'Gov Exp'!AE401+'Gov Exp'!AI401-'Gov Exp'!AK401</f>
        <v>0</v>
      </c>
      <c r="AM401" s="15" t="str">
        <f>'Gov Rev'!A401</f>
        <v>Midvale</v>
      </c>
      <c r="AN401" s="15" t="str">
        <f t="shared" si="16"/>
        <v>Midvale</v>
      </c>
      <c r="AO401" s="15" t="b">
        <f t="shared" si="17"/>
        <v>1</v>
      </c>
    </row>
    <row r="402" spans="1:41" ht="12" customHeight="1" x14ac:dyDescent="0.2">
      <c r="A402" s="15" t="s">
        <v>459</v>
      </c>
      <c r="C402" s="15" t="s">
        <v>432</v>
      </c>
      <c r="E402" s="24">
        <v>0</v>
      </c>
      <c r="G402" s="24">
        <v>0</v>
      </c>
      <c r="I402" s="24">
        <v>4823</v>
      </c>
      <c r="K402" s="24">
        <v>0</v>
      </c>
      <c r="M402" s="24">
        <v>2534</v>
      </c>
      <c r="O402" s="24">
        <v>19371</v>
      </c>
      <c r="Q402" s="24">
        <v>21677</v>
      </c>
      <c r="S402" s="24">
        <v>0</v>
      </c>
      <c r="U402" s="24">
        <v>0</v>
      </c>
      <c r="W402" s="24">
        <v>0</v>
      </c>
      <c r="Y402" s="24">
        <v>0</v>
      </c>
      <c r="AA402" s="24">
        <v>0</v>
      </c>
      <c r="AC402" s="24">
        <v>0</v>
      </c>
      <c r="AE402" s="24">
        <f t="shared" si="15"/>
        <v>48405</v>
      </c>
      <c r="AF402" s="24"/>
      <c r="AG402" s="24">
        <v>-4460</v>
      </c>
      <c r="AH402" s="24"/>
      <c r="AI402" s="24">
        <v>30507</v>
      </c>
      <c r="AJ402" s="24"/>
      <c r="AK402" s="24">
        <v>26047</v>
      </c>
      <c r="AL402" s="24">
        <f>+'Gov Rev'!AI402-'Gov Exp'!AE402+'Gov Exp'!AI402-'Gov Exp'!AK402</f>
        <v>0</v>
      </c>
      <c r="AM402" s="15" t="str">
        <f>'Gov Rev'!A402</f>
        <v>Midway</v>
      </c>
      <c r="AN402" s="15" t="str">
        <f t="shared" si="16"/>
        <v>Midway</v>
      </c>
      <c r="AO402" s="15" t="b">
        <f t="shared" si="17"/>
        <v>1</v>
      </c>
    </row>
    <row r="403" spans="1:41" ht="12" customHeight="1" x14ac:dyDescent="0.2">
      <c r="A403" s="1" t="s">
        <v>8</v>
      </c>
      <c r="B403" s="1"/>
      <c r="C403" s="1" t="s">
        <v>666</v>
      </c>
      <c r="E403" s="24">
        <v>28847.68</v>
      </c>
      <c r="G403" s="24">
        <v>770</v>
      </c>
      <c r="I403" s="24">
        <v>41.64</v>
      </c>
      <c r="K403" s="24">
        <v>3145.6</v>
      </c>
      <c r="M403" s="24">
        <v>0</v>
      </c>
      <c r="O403" s="24">
        <v>5253.3</v>
      </c>
      <c r="Q403" s="24">
        <v>26513.48</v>
      </c>
      <c r="S403" s="24">
        <v>0</v>
      </c>
      <c r="U403" s="24">
        <v>0</v>
      </c>
      <c r="W403" s="24">
        <v>0</v>
      </c>
      <c r="Y403" s="24">
        <v>0</v>
      </c>
      <c r="AA403" s="24">
        <v>0</v>
      </c>
      <c r="AC403" s="24">
        <v>0</v>
      </c>
      <c r="AE403" s="24">
        <f t="shared" si="15"/>
        <v>64571.7</v>
      </c>
      <c r="AF403" s="24"/>
      <c r="AG403" s="24">
        <v>17074.82</v>
      </c>
      <c r="AH403" s="24"/>
      <c r="AI403" s="24">
        <v>63083.11</v>
      </c>
      <c r="AJ403" s="24"/>
      <c r="AK403" s="24">
        <v>80157.929999999993</v>
      </c>
      <c r="AL403" s="24">
        <f>+'Gov Rev'!AI403-'Gov Exp'!AE403+'Gov Exp'!AI403-'Gov Exp'!AK403</f>
        <v>0</v>
      </c>
      <c r="AM403" s="15" t="str">
        <f>'Gov Rev'!A403</f>
        <v>Mifflin</v>
      </c>
      <c r="AN403" s="15" t="str">
        <f t="shared" si="16"/>
        <v>Mifflin</v>
      </c>
      <c r="AO403" s="15" t="b">
        <f t="shared" si="17"/>
        <v>1</v>
      </c>
    </row>
    <row r="404" spans="1:41" ht="12" customHeight="1" x14ac:dyDescent="0.2">
      <c r="A404" s="15" t="s">
        <v>347</v>
      </c>
      <c r="C404" s="15" t="s">
        <v>348</v>
      </c>
      <c r="E404" s="24">
        <v>364652</v>
      </c>
      <c r="G404" s="24">
        <v>0</v>
      </c>
      <c r="I404" s="24">
        <v>113813</v>
      </c>
      <c r="K404" s="24">
        <v>11747</v>
      </c>
      <c r="M404" s="24">
        <v>0</v>
      </c>
      <c r="O404" s="24">
        <v>230091</v>
      </c>
      <c r="Q404" s="24">
        <v>118726</v>
      </c>
      <c r="S404" s="24">
        <v>-22510</v>
      </c>
      <c r="U404" s="24">
        <v>4000</v>
      </c>
      <c r="W404" s="24">
        <v>2581</v>
      </c>
      <c r="Y404" s="24">
        <v>46909</v>
      </c>
      <c r="AA404" s="24">
        <v>0</v>
      </c>
      <c r="AC404" s="24">
        <v>0</v>
      </c>
      <c r="AE404" s="24">
        <f t="shared" si="15"/>
        <v>870009</v>
      </c>
      <c r="AF404" s="24"/>
      <c r="AG404" s="24">
        <v>122489</v>
      </c>
      <c r="AH404" s="24"/>
      <c r="AI404" s="24">
        <v>1050677</v>
      </c>
      <c r="AJ404" s="24"/>
      <c r="AK404" s="24">
        <v>1173166</v>
      </c>
      <c r="AL404" s="24">
        <f>+'Gov Rev'!AI404-'Gov Exp'!AE404+'Gov Exp'!AI404-'Gov Exp'!AK404</f>
        <v>0</v>
      </c>
      <c r="AM404" s="15" t="str">
        <f>'Gov Rev'!A404</f>
        <v>Milan</v>
      </c>
      <c r="AN404" s="15" t="str">
        <f t="shared" si="16"/>
        <v>Milan</v>
      </c>
      <c r="AO404" s="15" t="b">
        <f t="shared" si="17"/>
        <v>1</v>
      </c>
    </row>
    <row r="405" spans="1:41" ht="12" customHeight="1" x14ac:dyDescent="0.2">
      <c r="A405" s="1" t="s">
        <v>237</v>
      </c>
      <c r="B405" s="1"/>
      <c r="C405" s="1" t="s">
        <v>807</v>
      </c>
      <c r="E405" s="24">
        <v>38313.58</v>
      </c>
      <c r="G405" s="24">
        <v>0</v>
      </c>
      <c r="I405" s="24">
        <v>2427.9</v>
      </c>
      <c r="K405" s="24">
        <v>9554.4500000000007</v>
      </c>
      <c r="M405" s="24">
        <v>17074.150000000001</v>
      </c>
      <c r="O405" s="24">
        <v>15425.6</v>
      </c>
      <c r="Q405" s="24">
        <v>56493.5</v>
      </c>
      <c r="S405" s="24">
        <v>0</v>
      </c>
      <c r="U405" s="24">
        <v>0</v>
      </c>
      <c r="W405" s="24">
        <v>6978.9</v>
      </c>
      <c r="Y405" s="24">
        <v>0</v>
      </c>
      <c r="AA405" s="24">
        <v>0</v>
      </c>
      <c r="AC405" s="24">
        <v>62</v>
      </c>
      <c r="AE405" s="24">
        <f t="shared" si="15"/>
        <v>146330.08000000002</v>
      </c>
      <c r="AF405" s="24"/>
      <c r="AG405" s="24">
        <v>23242.92</v>
      </c>
      <c r="AH405" s="24"/>
      <c r="AI405" s="24">
        <v>160042.74</v>
      </c>
      <c r="AJ405" s="24"/>
      <c r="AK405" s="24">
        <v>183285.66</v>
      </c>
      <c r="AL405" s="24">
        <f>+'Gov Rev'!AI405-'Gov Exp'!AE405+'Gov Exp'!AI405-'Gov Exp'!AK405</f>
        <v>0</v>
      </c>
      <c r="AM405" s="15" t="str">
        <f>'Gov Rev'!A405</f>
        <v>Milford Center</v>
      </c>
      <c r="AN405" s="15" t="str">
        <f t="shared" si="16"/>
        <v>Milford Center</v>
      </c>
      <c r="AO405" s="15" t="b">
        <f t="shared" si="17"/>
        <v>1</v>
      </c>
    </row>
    <row r="406" spans="1:41" ht="12" customHeight="1" x14ac:dyDescent="0.2">
      <c r="A406" s="1" t="s">
        <v>258</v>
      </c>
      <c r="B406" s="1"/>
      <c r="C406" s="1" t="s">
        <v>813</v>
      </c>
      <c r="E406" s="24">
        <v>77404.11</v>
      </c>
      <c r="G406" s="24">
        <v>0</v>
      </c>
      <c r="I406" s="24">
        <v>24648.29</v>
      </c>
      <c r="K406" s="24">
        <v>4546.21</v>
      </c>
      <c r="M406" s="24">
        <v>67686.820000000007</v>
      </c>
      <c r="O406" s="24">
        <v>96547.71</v>
      </c>
      <c r="Q406" s="24">
        <v>109704.33</v>
      </c>
      <c r="S406" s="24">
        <v>204136</v>
      </c>
      <c r="U406" s="24">
        <v>19129.02</v>
      </c>
      <c r="W406" s="24">
        <v>0</v>
      </c>
      <c r="Y406" s="24">
        <v>186918.64</v>
      </c>
      <c r="AA406" s="24">
        <v>0</v>
      </c>
      <c r="AC406" s="24">
        <v>0</v>
      </c>
      <c r="AE406" s="24">
        <f t="shared" ref="AE406:AE470" si="18">SUM(E406:AC406)</f>
        <v>790721.13</v>
      </c>
      <c r="AF406" s="24"/>
      <c r="AG406" s="24">
        <v>-156710.45000000001</v>
      </c>
      <c r="AH406" s="24"/>
      <c r="AI406" s="24">
        <v>664779.79</v>
      </c>
      <c r="AJ406" s="24"/>
      <c r="AK406" s="24">
        <v>508069.34</v>
      </c>
      <c r="AL406" s="24">
        <f>+'Gov Rev'!AI406-'Gov Exp'!AE406+'Gov Exp'!AI406-'Gov Exp'!AK406</f>
        <v>0</v>
      </c>
      <c r="AM406" s="15" t="str">
        <f>'Gov Rev'!A406</f>
        <v>Millbury</v>
      </c>
      <c r="AN406" s="15" t="str">
        <f t="shared" ref="AN406:AN470" si="19">A406</f>
        <v>Millbury</v>
      </c>
      <c r="AO406" s="15" t="b">
        <f t="shared" ref="AO406:AO470" si="20">AM406=AN406</f>
        <v>1</v>
      </c>
    </row>
    <row r="407" spans="1:41" ht="12" customHeight="1" x14ac:dyDescent="0.2">
      <c r="A407" s="10" t="s">
        <v>70</v>
      </c>
      <c r="B407" s="10"/>
      <c r="C407" s="10" t="s">
        <v>757</v>
      </c>
      <c r="D407" s="28"/>
      <c r="E407" s="24">
        <v>4043.6</v>
      </c>
      <c r="G407" s="24">
        <v>0</v>
      </c>
      <c r="I407" s="24">
        <v>0</v>
      </c>
      <c r="K407" s="24">
        <v>0</v>
      </c>
      <c r="M407" s="24">
        <v>1457.19</v>
      </c>
      <c r="O407" s="24">
        <v>434.98</v>
      </c>
      <c r="Q407" s="24">
        <v>15805.77</v>
      </c>
      <c r="S407" s="24">
        <v>0</v>
      </c>
      <c r="U407" s="24">
        <v>0</v>
      </c>
      <c r="W407" s="24">
        <v>0</v>
      </c>
      <c r="Y407" s="24">
        <v>0</v>
      </c>
      <c r="AA407" s="24">
        <v>0</v>
      </c>
      <c r="AC407" s="24">
        <v>0</v>
      </c>
      <c r="AE407" s="24">
        <f t="shared" si="18"/>
        <v>21741.54</v>
      </c>
      <c r="AF407" s="24"/>
      <c r="AG407" s="24">
        <v>3076.41</v>
      </c>
      <c r="AH407" s="24"/>
      <c r="AI407" s="24">
        <v>12181.27</v>
      </c>
      <c r="AJ407" s="24"/>
      <c r="AK407" s="24">
        <v>15257.68</v>
      </c>
      <c r="AL407" s="24">
        <f>+'Gov Rev'!AI407-'Gov Exp'!AE407+'Gov Exp'!AI407-'Gov Exp'!AK407</f>
        <v>0</v>
      </c>
      <c r="AM407" s="15" t="str">
        <f>'Gov Rev'!A407</f>
        <v>Milledgeville</v>
      </c>
      <c r="AN407" s="15" t="str">
        <f t="shared" si="19"/>
        <v>Milledgeville</v>
      </c>
      <c r="AO407" s="15" t="b">
        <f t="shared" si="20"/>
        <v>1</v>
      </c>
    </row>
    <row r="408" spans="1:41" ht="12" customHeight="1" x14ac:dyDescent="0.2">
      <c r="A408" s="1" t="s">
        <v>206</v>
      </c>
      <c r="B408" s="1"/>
      <c r="C408" s="1" t="s">
        <v>797</v>
      </c>
      <c r="E408" s="24">
        <v>4039.4</v>
      </c>
      <c r="G408" s="24">
        <v>0</v>
      </c>
      <c r="I408" s="24">
        <v>16</v>
      </c>
      <c r="K408" s="24">
        <v>9500</v>
      </c>
      <c r="M408" s="24">
        <v>4555.6899999999996</v>
      </c>
      <c r="O408" s="24">
        <v>16682.71</v>
      </c>
      <c r="Q408" s="24">
        <v>21332.14</v>
      </c>
      <c r="S408" s="24">
        <v>0</v>
      </c>
      <c r="U408" s="24">
        <v>11999.41</v>
      </c>
      <c r="W408" s="24">
        <v>2759.35</v>
      </c>
      <c r="Y408" s="24">
        <v>6997.8</v>
      </c>
      <c r="AA408" s="24">
        <v>0</v>
      </c>
      <c r="AC408" s="24">
        <v>0</v>
      </c>
      <c r="AE408" s="24">
        <f t="shared" si="18"/>
        <v>77882.500000000015</v>
      </c>
      <c r="AF408" s="24"/>
      <c r="AG408" s="24">
        <v>35152.300000000003</v>
      </c>
      <c r="AH408" s="24"/>
      <c r="AI408" s="24">
        <v>212192.59</v>
      </c>
      <c r="AJ408" s="24"/>
      <c r="AK408" s="24">
        <v>247344.89</v>
      </c>
      <c r="AL408" s="24">
        <f>+'Gov Rev'!AI408-'Gov Exp'!AE408+'Gov Exp'!AI408-'Gov Exp'!AK408</f>
        <v>0</v>
      </c>
      <c r="AM408" s="15" t="str">
        <f>'Gov Rev'!A408</f>
        <v>Miller City</v>
      </c>
      <c r="AN408" s="15" t="str">
        <f t="shared" si="19"/>
        <v>Miller City</v>
      </c>
      <c r="AO408" s="15" t="b">
        <f t="shared" si="20"/>
        <v>1</v>
      </c>
    </row>
    <row r="409" spans="1:41" ht="12" customHeight="1" x14ac:dyDescent="0.2">
      <c r="A409" s="1" t="s">
        <v>414</v>
      </c>
      <c r="B409" s="1"/>
      <c r="C409" s="1" t="s">
        <v>412</v>
      </c>
      <c r="E409" s="24">
        <v>629144.06999999995</v>
      </c>
      <c r="G409" s="24">
        <v>47741.37</v>
      </c>
      <c r="I409" s="24">
        <v>44774.64</v>
      </c>
      <c r="K409" s="24">
        <v>46328.86</v>
      </c>
      <c r="M409" s="24">
        <v>0</v>
      </c>
      <c r="O409" s="24">
        <v>238124.71</v>
      </c>
      <c r="Q409" s="24">
        <v>292024.09999999998</v>
      </c>
      <c r="S409" s="24">
        <v>19812.8</v>
      </c>
      <c r="U409" s="24">
        <v>3318.94</v>
      </c>
      <c r="W409" s="24">
        <v>0</v>
      </c>
      <c r="Y409" s="24">
        <v>130000</v>
      </c>
      <c r="AA409" s="24">
        <v>0</v>
      </c>
      <c r="AC409" s="24">
        <v>0</v>
      </c>
      <c r="AE409" s="24">
        <f t="shared" si="18"/>
        <v>1451269.49</v>
      </c>
      <c r="AF409" s="24"/>
      <c r="AG409" s="24">
        <v>568330.79</v>
      </c>
      <c r="AH409" s="24"/>
      <c r="AI409" s="24">
        <v>405413.61</v>
      </c>
      <c r="AJ409" s="24"/>
      <c r="AK409" s="24">
        <v>973744.4</v>
      </c>
      <c r="AL409" s="24">
        <f>+'Gov Rev'!AI409-'Gov Exp'!AE409+'Gov Exp'!AI409-'Gov Exp'!AK409</f>
        <v>0</v>
      </c>
      <c r="AM409" s="15" t="str">
        <f>'Gov Rev'!A409</f>
        <v>Millersburg</v>
      </c>
      <c r="AN409" s="15" t="str">
        <f t="shared" si="19"/>
        <v>Millersburg</v>
      </c>
      <c r="AO409" s="15" t="b">
        <f t="shared" si="20"/>
        <v>1</v>
      </c>
    </row>
    <row r="410" spans="1:41" s="31" customFormat="1" ht="12" customHeight="1" x14ac:dyDescent="0.2">
      <c r="A410" s="1" t="s">
        <v>63</v>
      </c>
      <c r="B410" s="1"/>
      <c r="C410" s="1" t="s">
        <v>756</v>
      </c>
      <c r="D410" s="15"/>
      <c r="E410" s="24">
        <v>761996.81</v>
      </c>
      <c r="F410" s="24"/>
      <c r="G410" s="24">
        <v>4544.4399999999996</v>
      </c>
      <c r="H410" s="24"/>
      <c r="I410" s="24">
        <v>46438.63</v>
      </c>
      <c r="J410" s="24"/>
      <c r="K410" s="24">
        <v>0</v>
      </c>
      <c r="L410" s="24"/>
      <c r="M410" s="24">
        <v>0</v>
      </c>
      <c r="N410" s="24"/>
      <c r="O410" s="24">
        <v>193610.35</v>
      </c>
      <c r="P410" s="24"/>
      <c r="Q410" s="24">
        <v>76869.679999999993</v>
      </c>
      <c r="R410" s="24"/>
      <c r="S410" s="24">
        <v>578346.88</v>
      </c>
      <c r="T410" s="24"/>
      <c r="U410" s="24">
        <v>89716.04</v>
      </c>
      <c r="V410" s="24"/>
      <c r="W410" s="24">
        <v>19072.09</v>
      </c>
      <c r="X410" s="24"/>
      <c r="Y410" s="24">
        <v>0</v>
      </c>
      <c r="Z410" s="24"/>
      <c r="AA410" s="24">
        <v>0</v>
      </c>
      <c r="AB410" s="24"/>
      <c r="AC410" s="24">
        <v>0</v>
      </c>
      <c r="AD410" s="24"/>
      <c r="AE410" s="24">
        <f t="shared" si="18"/>
        <v>1770594.9200000002</v>
      </c>
      <c r="AF410" s="24"/>
      <c r="AG410" s="24">
        <v>117054.2</v>
      </c>
      <c r="AH410" s="24"/>
      <c r="AI410" s="24">
        <v>359880.6</v>
      </c>
      <c r="AJ410" s="24"/>
      <c r="AK410" s="24">
        <v>476934.8</v>
      </c>
      <c r="AL410" s="24">
        <f>+'Gov Rev'!AI410-'Gov Exp'!AE410+'Gov Exp'!AI410-'Gov Exp'!AK410</f>
        <v>0</v>
      </c>
      <c r="AM410" s="15" t="str">
        <f>'Gov Rev'!A410</f>
        <v>Millersport</v>
      </c>
      <c r="AN410" s="15" t="str">
        <f t="shared" si="19"/>
        <v>Millersport</v>
      </c>
      <c r="AO410" s="15" t="b">
        <f t="shared" si="20"/>
        <v>1</v>
      </c>
    </row>
    <row r="411" spans="1:41" ht="12" hidden="1" customHeight="1" x14ac:dyDescent="0.2">
      <c r="A411" s="1" t="s">
        <v>26</v>
      </c>
      <c r="B411" s="1"/>
      <c r="C411" s="1" t="s">
        <v>518</v>
      </c>
      <c r="AE411" s="24">
        <f t="shared" si="18"/>
        <v>0</v>
      </c>
      <c r="AF411" s="24"/>
      <c r="AG411" s="24"/>
      <c r="AH411" s="24"/>
      <c r="AI411" s="24"/>
      <c r="AJ411" s="24"/>
      <c r="AK411" s="24"/>
      <c r="AL411" s="24">
        <f>+'Gov Rev'!AI411-'Gov Exp'!AE411+'Gov Exp'!AI411-'Gov Exp'!AK411</f>
        <v>0</v>
      </c>
      <c r="AM411" s="15" t="str">
        <f>'Gov Rev'!A411</f>
        <v>Millville</v>
      </c>
      <c r="AN411" s="15" t="str">
        <f t="shared" si="19"/>
        <v>Millville</v>
      </c>
      <c r="AO411" s="15" t="b">
        <f t="shared" si="20"/>
        <v>1</v>
      </c>
    </row>
    <row r="412" spans="1:41" ht="12" customHeight="1" x14ac:dyDescent="0.2">
      <c r="A412" s="15" t="s">
        <v>681</v>
      </c>
      <c r="C412" s="15" t="s">
        <v>601</v>
      </c>
      <c r="E412" s="24">
        <v>8997</v>
      </c>
      <c r="G412" s="24">
        <v>2782</v>
      </c>
      <c r="I412" s="24">
        <v>0</v>
      </c>
      <c r="K412" s="24">
        <v>5156</v>
      </c>
      <c r="M412" s="24">
        <v>737</v>
      </c>
      <c r="O412" s="24">
        <v>950</v>
      </c>
      <c r="Q412" s="24">
        <v>6389</v>
      </c>
      <c r="S412" s="24">
        <v>156</v>
      </c>
      <c r="U412" s="24">
        <v>0</v>
      </c>
      <c r="W412" s="24">
        <v>0</v>
      </c>
      <c r="Y412" s="24">
        <v>0</v>
      </c>
      <c r="AA412" s="24">
        <v>0</v>
      </c>
      <c r="AC412" s="24">
        <v>0</v>
      </c>
      <c r="AE412" s="24">
        <f t="shared" si="18"/>
        <v>25167</v>
      </c>
      <c r="AF412" s="24"/>
      <c r="AG412" s="24">
        <v>25841</v>
      </c>
      <c r="AH412" s="24"/>
      <c r="AI412" s="24">
        <v>41351</v>
      </c>
      <c r="AJ412" s="24"/>
      <c r="AK412" s="24">
        <v>67192</v>
      </c>
      <c r="AL412" s="24">
        <f>+'Gov Rev'!AI412-'Gov Exp'!AE412+'Gov Exp'!AI412-'Gov Exp'!AK412</f>
        <v>0</v>
      </c>
      <c r="AM412" s="15" t="str">
        <f>'Gov Rev'!A412</f>
        <v>Milton Center</v>
      </c>
      <c r="AN412" s="15" t="str">
        <f t="shared" si="19"/>
        <v>Milton Center</v>
      </c>
      <c r="AO412" s="15" t="b">
        <f t="shared" si="20"/>
        <v>1</v>
      </c>
    </row>
    <row r="413" spans="1:41" ht="12" customHeight="1" x14ac:dyDescent="0.2">
      <c r="A413" s="15" t="s">
        <v>476</v>
      </c>
      <c r="C413" s="15" t="s">
        <v>474</v>
      </c>
      <c r="E413" s="24">
        <v>936</v>
      </c>
      <c r="G413" s="24">
        <v>72</v>
      </c>
      <c r="I413" s="24">
        <v>0</v>
      </c>
      <c r="K413" s="24">
        <v>0</v>
      </c>
      <c r="M413" s="24">
        <v>417</v>
      </c>
      <c r="O413" s="24">
        <v>1348</v>
      </c>
      <c r="Q413" s="24">
        <v>2881</v>
      </c>
      <c r="S413" s="24">
        <v>0</v>
      </c>
      <c r="U413" s="24">
        <v>0</v>
      </c>
      <c r="W413" s="24">
        <v>0</v>
      </c>
      <c r="Y413" s="24">
        <v>0</v>
      </c>
      <c r="AA413" s="24">
        <v>0</v>
      </c>
      <c r="AC413" s="24">
        <v>0</v>
      </c>
      <c r="AE413" s="24">
        <f t="shared" si="18"/>
        <v>5654</v>
      </c>
      <c r="AF413" s="24"/>
      <c r="AG413" s="24">
        <v>949</v>
      </c>
      <c r="AH413" s="24"/>
      <c r="AI413" s="24">
        <v>14308</v>
      </c>
      <c r="AJ413" s="24"/>
      <c r="AK413" s="24">
        <v>15257</v>
      </c>
      <c r="AL413" s="24">
        <f>+'Gov Rev'!AI413-'Gov Exp'!AE413+'Gov Exp'!AI413-'Gov Exp'!AK413</f>
        <v>0</v>
      </c>
      <c r="AM413" s="15" t="str">
        <f>'Gov Rev'!A413</f>
        <v>Miltonsburg</v>
      </c>
      <c r="AN413" s="15" t="str">
        <f t="shared" si="19"/>
        <v>Miltonsburg</v>
      </c>
      <c r="AO413" s="15" t="b">
        <f t="shared" si="20"/>
        <v>1</v>
      </c>
    </row>
    <row r="414" spans="1:41" ht="12" customHeight="1" x14ac:dyDescent="0.2">
      <c r="A414" s="1" t="s">
        <v>234</v>
      </c>
      <c r="B414" s="1"/>
      <c r="C414" s="1" t="s">
        <v>806</v>
      </c>
      <c r="E414" s="24">
        <v>17983.580000000002</v>
      </c>
      <c r="G414" s="24">
        <v>235.8</v>
      </c>
      <c r="I414" s="24">
        <v>11507.87</v>
      </c>
      <c r="K414" s="24">
        <v>4073.4</v>
      </c>
      <c r="M414" s="24">
        <v>24889.8</v>
      </c>
      <c r="O414" s="24">
        <v>40221.24</v>
      </c>
      <c r="Q414" s="24">
        <v>69817.52</v>
      </c>
      <c r="S414" s="24">
        <v>79993.73</v>
      </c>
      <c r="U414" s="24">
        <v>164019.37</v>
      </c>
      <c r="W414" s="24">
        <v>12680.95</v>
      </c>
      <c r="Y414" s="24">
        <v>0</v>
      </c>
      <c r="AA414" s="24">
        <v>0</v>
      </c>
      <c r="AC414" s="24">
        <v>1760</v>
      </c>
      <c r="AE414" s="24">
        <f t="shared" si="18"/>
        <v>427183.26</v>
      </c>
      <c r="AF414" s="24"/>
      <c r="AG414" s="24">
        <v>30002.84</v>
      </c>
      <c r="AH414" s="24"/>
      <c r="AI414" s="24">
        <v>303198.34000000003</v>
      </c>
      <c r="AJ414" s="24"/>
      <c r="AK414" s="24">
        <v>333201.18</v>
      </c>
      <c r="AL414" s="24">
        <f>+'Gov Rev'!AI414-'Gov Exp'!AE414+'Gov Exp'!AI414-'Gov Exp'!AK414</f>
        <v>0</v>
      </c>
      <c r="AM414" s="15" t="str">
        <f>'Gov Rev'!A414</f>
        <v>Mineral City</v>
      </c>
      <c r="AN414" s="15" t="str">
        <f t="shared" si="19"/>
        <v>Mineral City</v>
      </c>
      <c r="AO414" s="15" t="b">
        <f t="shared" si="20"/>
        <v>1</v>
      </c>
    </row>
    <row r="415" spans="1:41" ht="12" customHeight="1" x14ac:dyDescent="0.2">
      <c r="A415" s="15" t="s">
        <v>545</v>
      </c>
      <c r="C415" s="15" t="s">
        <v>540</v>
      </c>
      <c r="E415" s="24">
        <v>1231438</v>
      </c>
      <c r="G415" s="24">
        <v>142021</v>
      </c>
      <c r="I415" s="24">
        <v>166597</v>
      </c>
      <c r="K415" s="24">
        <v>96</v>
      </c>
      <c r="M415" s="24">
        <v>14978</v>
      </c>
      <c r="O415" s="24">
        <v>919025</v>
      </c>
      <c r="Q415" s="24">
        <v>2352034</v>
      </c>
      <c r="S415" s="24">
        <v>59838</v>
      </c>
      <c r="U415" s="24">
        <v>0</v>
      </c>
      <c r="W415" s="24">
        <v>0</v>
      </c>
      <c r="Y415" s="24">
        <v>0</v>
      </c>
      <c r="AA415" s="24">
        <v>0</v>
      </c>
      <c r="AC415" s="24">
        <v>321954</v>
      </c>
      <c r="AE415" s="24">
        <f t="shared" si="18"/>
        <v>5207981</v>
      </c>
      <c r="AF415" s="24"/>
      <c r="AG415" s="24">
        <v>613628</v>
      </c>
      <c r="AH415" s="24"/>
      <c r="AI415" s="24">
        <v>4283030</v>
      </c>
      <c r="AJ415" s="24"/>
      <c r="AK415" s="24">
        <v>4896658</v>
      </c>
      <c r="AL415" s="24">
        <f>+'Gov Rev'!AI415-'Gov Exp'!AE415+'Gov Exp'!AI415-'Gov Exp'!AK415</f>
        <v>0</v>
      </c>
      <c r="AM415" s="15" t="str">
        <f>'Gov Rev'!A415</f>
        <v xml:space="preserve">Minerva  </v>
      </c>
      <c r="AN415" s="15" t="str">
        <f t="shared" si="19"/>
        <v xml:space="preserve">Minerva  </v>
      </c>
      <c r="AO415" s="15" t="b">
        <f t="shared" si="20"/>
        <v>1</v>
      </c>
    </row>
    <row r="416" spans="1:41" ht="12" customHeight="1" x14ac:dyDescent="0.2">
      <c r="A416" s="15" t="s">
        <v>74</v>
      </c>
      <c r="C416" s="15" t="s">
        <v>353</v>
      </c>
      <c r="E416" s="24">
        <v>661722.1</v>
      </c>
      <c r="G416" s="24">
        <v>0</v>
      </c>
      <c r="I416" s="24">
        <v>92706.77</v>
      </c>
      <c r="K416" s="24">
        <v>1975.59</v>
      </c>
      <c r="M416" s="24">
        <v>134765.93</v>
      </c>
      <c r="O416" s="24">
        <v>30974.09</v>
      </c>
      <c r="Q416" s="24">
        <v>346949.61</v>
      </c>
      <c r="S416" s="24">
        <v>6388.53</v>
      </c>
      <c r="U416" s="24">
        <v>101495.69</v>
      </c>
      <c r="W416" s="24">
        <v>23274.48</v>
      </c>
      <c r="Y416" s="24">
        <v>5000</v>
      </c>
      <c r="AA416" s="24">
        <v>0</v>
      </c>
      <c r="AC416" s="24">
        <v>0</v>
      </c>
      <c r="AE416" s="24">
        <f t="shared" si="18"/>
        <v>1405252.7899999998</v>
      </c>
      <c r="AF416" s="24"/>
      <c r="AG416" s="24">
        <v>-132811.18</v>
      </c>
      <c r="AH416" s="24"/>
      <c r="AI416" s="24">
        <v>617098.63</v>
      </c>
      <c r="AJ416" s="24"/>
      <c r="AK416" s="24">
        <v>484287.45</v>
      </c>
      <c r="AL416" s="24">
        <f>+'Gov Rev'!AI416-'Gov Exp'!AE416+'Gov Exp'!AI416-'Gov Exp'!AK416</f>
        <v>0</v>
      </c>
      <c r="AM416" s="15" t="str">
        <f>'Gov Rev'!A416</f>
        <v>Minerva Park</v>
      </c>
      <c r="AN416" s="15" t="str">
        <f t="shared" si="19"/>
        <v>Minerva Park</v>
      </c>
      <c r="AO416" s="15" t="b">
        <f t="shared" si="20"/>
        <v>1</v>
      </c>
    </row>
    <row r="417" spans="1:41" s="31" customFormat="1" ht="12" customHeight="1" x14ac:dyDescent="0.2">
      <c r="A417" s="15" t="s">
        <v>423</v>
      </c>
      <c r="B417" s="15"/>
      <c r="C417" s="15" t="s">
        <v>420</v>
      </c>
      <c r="D417" s="15"/>
      <c r="E417" s="24">
        <v>869821</v>
      </c>
      <c r="F417" s="24"/>
      <c r="G417" s="24">
        <v>15182</v>
      </c>
      <c r="H417" s="24"/>
      <c r="I417" s="24">
        <v>96095</v>
      </c>
      <c r="J417" s="24"/>
      <c r="K417" s="24">
        <v>29763</v>
      </c>
      <c r="L417" s="24"/>
      <c r="M417" s="24">
        <v>317876</v>
      </c>
      <c r="N417" s="24"/>
      <c r="O417" s="24">
        <v>188675</v>
      </c>
      <c r="P417" s="24"/>
      <c r="Q417" s="24">
        <v>431249</v>
      </c>
      <c r="R417" s="24"/>
      <c r="S417" s="24">
        <v>593349</v>
      </c>
      <c r="T417" s="24"/>
      <c r="U417" s="24">
        <v>40662</v>
      </c>
      <c r="V417" s="24"/>
      <c r="W417" s="24">
        <v>3462</v>
      </c>
      <c r="X417" s="24"/>
      <c r="Y417" s="24">
        <v>88144</v>
      </c>
      <c r="Z417" s="24"/>
      <c r="AA417" s="24">
        <v>0</v>
      </c>
      <c r="AB417" s="24"/>
      <c r="AC417" s="24">
        <v>40</v>
      </c>
      <c r="AD417" s="24"/>
      <c r="AE417" s="24">
        <f t="shared" si="18"/>
        <v>2674318</v>
      </c>
      <c r="AF417" s="24"/>
      <c r="AG417" s="24">
        <v>-733199</v>
      </c>
      <c r="AH417" s="24"/>
      <c r="AI417" s="24">
        <v>2305798</v>
      </c>
      <c r="AJ417" s="24"/>
      <c r="AK417" s="24">
        <v>1572597</v>
      </c>
      <c r="AL417" s="24">
        <f>+'Gov Rev'!AI417-'Gov Exp'!AE417+'Gov Exp'!AI417-'Gov Exp'!AK417</f>
        <v>0</v>
      </c>
      <c r="AM417" s="15" t="str">
        <f>'Gov Rev'!A417</f>
        <v>Mingo Junction</v>
      </c>
      <c r="AN417" s="15" t="str">
        <f t="shared" si="19"/>
        <v>Mingo Junction</v>
      </c>
      <c r="AO417" s="15" t="b">
        <f t="shared" si="20"/>
        <v>1</v>
      </c>
    </row>
    <row r="418" spans="1:41" s="31" customFormat="1" ht="12" customHeight="1" x14ac:dyDescent="0.2">
      <c r="A418" s="15" t="s">
        <v>276</v>
      </c>
      <c r="B418" s="15"/>
      <c r="C418" s="15" t="s">
        <v>275</v>
      </c>
      <c r="D418" s="15"/>
      <c r="E418" s="24">
        <v>663779</v>
      </c>
      <c r="F418" s="24"/>
      <c r="G418" s="24">
        <v>198233</v>
      </c>
      <c r="H418" s="24"/>
      <c r="I418" s="24">
        <v>0</v>
      </c>
      <c r="J418" s="24"/>
      <c r="K418" s="24">
        <v>31427</v>
      </c>
      <c r="L418" s="24"/>
      <c r="M418" s="24">
        <v>0</v>
      </c>
      <c r="N418" s="24"/>
      <c r="O418" s="24">
        <v>573060</v>
      </c>
      <c r="P418" s="24"/>
      <c r="Q418" s="24">
        <v>441518</v>
      </c>
      <c r="R418" s="24"/>
      <c r="S418" s="24">
        <v>3185036</v>
      </c>
      <c r="T418" s="24"/>
      <c r="U418" s="24">
        <v>29649</v>
      </c>
      <c r="V418" s="24"/>
      <c r="W418" s="24">
        <v>28020</v>
      </c>
      <c r="X418" s="24"/>
      <c r="Y418" s="24">
        <v>7089888</v>
      </c>
      <c r="Z418" s="24"/>
      <c r="AA418" s="24">
        <v>0</v>
      </c>
      <c r="AB418" s="24"/>
      <c r="AC418" s="24">
        <v>0</v>
      </c>
      <c r="AD418" s="24"/>
      <c r="AE418" s="24">
        <f t="shared" si="18"/>
        <v>12240610</v>
      </c>
      <c r="AF418" s="24"/>
      <c r="AG418" s="24">
        <v>-537934</v>
      </c>
      <c r="AH418" s="24"/>
      <c r="AI418" s="24">
        <v>2425016</v>
      </c>
      <c r="AJ418" s="24"/>
      <c r="AK418" s="24">
        <v>1887082</v>
      </c>
      <c r="AL418" s="24">
        <f>+'Gov Rev'!AI418-'Gov Exp'!AE418+'Gov Exp'!AI418-'Gov Exp'!AK418</f>
        <v>0</v>
      </c>
      <c r="AM418" s="15" t="str">
        <f>'Gov Rev'!A418</f>
        <v>Minster</v>
      </c>
      <c r="AN418" s="15" t="str">
        <f t="shared" si="19"/>
        <v>Minster</v>
      </c>
      <c r="AO418" s="15" t="b">
        <f t="shared" si="20"/>
        <v>1</v>
      </c>
    </row>
    <row r="419" spans="1:41" s="37" customFormat="1" ht="12" customHeight="1" x14ac:dyDescent="0.2">
      <c r="A419" s="37" t="s">
        <v>550</v>
      </c>
      <c r="C419" s="37" t="s">
        <v>549</v>
      </c>
      <c r="E419" s="24">
        <v>1361193</v>
      </c>
      <c r="F419" s="24"/>
      <c r="G419" s="24">
        <v>48729</v>
      </c>
      <c r="H419" s="24"/>
      <c r="I419" s="24">
        <v>100258</v>
      </c>
      <c r="J419" s="24"/>
      <c r="K419" s="24">
        <v>109545</v>
      </c>
      <c r="L419" s="24"/>
      <c r="M419" s="24">
        <v>27631</v>
      </c>
      <c r="N419" s="24"/>
      <c r="O419" s="24">
        <v>433814</v>
      </c>
      <c r="P419" s="24"/>
      <c r="Q419" s="24">
        <f>539366+1</f>
        <v>539367</v>
      </c>
      <c r="R419" s="24"/>
      <c r="S419" s="24">
        <v>2025052</v>
      </c>
      <c r="T419" s="24"/>
      <c r="U419" s="24">
        <v>810000</v>
      </c>
      <c r="V419" s="24"/>
      <c r="W419" s="24">
        <v>17629</v>
      </c>
      <c r="X419" s="24"/>
      <c r="Y419" s="24">
        <v>2774476</v>
      </c>
      <c r="Z419" s="24"/>
      <c r="AA419" s="24">
        <v>0</v>
      </c>
      <c r="AB419" s="24"/>
      <c r="AC419" s="24">
        <v>0</v>
      </c>
      <c r="AD419" s="24"/>
      <c r="AE419" s="24">
        <f t="shared" si="18"/>
        <v>8247694</v>
      </c>
      <c r="AF419" s="24"/>
      <c r="AG419" s="24">
        <v>-70296</v>
      </c>
      <c r="AH419" s="24"/>
      <c r="AI419" s="24">
        <v>925807</v>
      </c>
      <c r="AJ419" s="24"/>
      <c r="AK419" s="24">
        <f>360986+494524</f>
        <v>855510</v>
      </c>
      <c r="AL419" s="24">
        <f>+'Gov Rev'!AI419-'Gov Exp'!AE419+'Gov Exp'!AI419-'Gov Exp'!AK419</f>
        <v>0</v>
      </c>
      <c r="AM419" s="15" t="str">
        <f>'Gov Rev'!A419</f>
        <v>Mogadore</v>
      </c>
      <c r="AN419" s="15" t="str">
        <f t="shared" si="19"/>
        <v>Mogadore</v>
      </c>
      <c r="AO419" s="15" t="b">
        <f t="shared" si="20"/>
        <v>1</v>
      </c>
    </row>
    <row r="420" spans="1:41" ht="12" customHeight="1" x14ac:dyDescent="0.2">
      <c r="A420" s="15" t="s">
        <v>415</v>
      </c>
      <c r="C420" s="15" t="s">
        <v>416</v>
      </c>
      <c r="E420" s="24">
        <v>339078</v>
      </c>
      <c r="G420" s="24">
        <v>1281</v>
      </c>
      <c r="I420" s="24">
        <v>53536</v>
      </c>
      <c r="K420" s="24">
        <v>13748</v>
      </c>
      <c r="M420" s="24">
        <v>0</v>
      </c>
      <c r="O420" s="24">
        <v>127381</v>
      </c>
      <c r="Q420" s="24">
        <v>143360</v>
      </c>
      <c r="S420" s="24">
        <v>40627</v>
      </c>
      <c r="U420" s="24">
        <v>0</v>
      </c>
      <c r="W420" s="24">
        <v>0</v>
      </c>
      <c r="Y420" s="24">
        <v>268745</v>
      </c>
      <c r="AA420" s="24">
        <v>1173662</v>
      </c>
      <c r="AC420" s="24">
        <v>11329</v>
      </c>
      <c r="AE420" s="24">
        <f t="shared" si="18"/>
        <v>2172747</v>
      </c>
      <c r="AF420" s="24"/>
      <c r="AG420" s="24">
        <v>-819854</v>
      </c>
      <c r="AH420" s="24"/>
      <c r="AI420" s="24">
        <v>1655907</v>
      </c>
      <c r="AJ420" s="24"/>
      <c r="AK420" s="24">
        <v>836053</v>
      </c>
      <c r="AL420" s="24">
        <f>+'Gov Rev'!AI420-'Gov Exp'!AE420+'Gov Exp'!AI420-'Gov Exp'!AK420</f>
        <v>0</v>
      </c>
      <c r="AM420" s="15" t="str">
        <f>'Gov Rev'!A420</f>
        <v>Monroeville</v>
      </c>
      <c r="AN420" s="15" t="str">
        <f t="shared" si="19"/>
        <v>Monroeville</v>
      </c>
      <c r="AO420" s="15" t="b">
        <f t="shared" si="20"/>
        <v>1</v>
      </c>
    </row>
    <row r="421" spans="1:41" ht="12" customHeight="1" x14ac:dyDescent="0.2">
      <c r="A421" s="1" t="s">
        <v>160</v>
      </c>
      <c r="B421" s="1"/>
      <c r="C421" s="1" t="s">
        <v>783</v>
      </c>
      <c r="E421" s="24">
        <v>5855.71</v>
      </c>
      <c r="G421" s="24">
        <v>543.99</v>
      </c>
      <c r="I421" s="24">
        <v>0</v>
      </c>
      <c r="K421" s="24">
        <v>445.5</v>
      </c>
      <c r="M421" s="24">
        <v>0</v>
      </c>
      <c r="O421" s="24">
        <v>6264.53</v>
      </c>
      <c r="Q421" s="24">
        <v>16020.62</v>
      </c>
      <c r="S421" s="24">
        <v>0</v>
      </c>
      <c r="U421" s="24">
        <v>0</v>
      </c>
      <c r="W421" s="24">
        <v>0</v>
      </c>
      <c r="Y421" s="24">
        <v>0</v>
      </c>
      <c r="AA421" s="24">
        <v>0</v>
      </c>
      <c r="AC421" s="24">
        <v>0</v>
      </c>
      <c r="AE421" s="24">
        <f t="shared" si="18"/>
        <v>29130.35</v>
      </c>
      <c r="AF421" s="24"/>
      <c r="AG421" s="24">
        <v>5214.92</v>
      </c>
      <c r="AH421" s="24"/>
      <c r="AI421" s="24">
        <v>48976.26</v>
      </c>
      <c r="AJ421" s="24"/>
      <c r="AK421" s="24">
        <v>54191.18</v>
      </c>
      <c r="AL421" s="24">
        <f>+'Gov Rev'!AI421-'Gov Exp'!AE421+'Gov Exp'!AI421-'Gov Exp'!AK421</f>
        <v>0</v>
      </c>
      <c r="AM421" s="15" t="str">
        <f>'Gov Rev'!A421</f>
        <v>Montezuma</v>
      </c>
      <c r="AN421" s="15" t="str">
        <f t="shared" si="19"/>
        <v>Montezuma</v>
      </c>
      <c r="AO421" s="15" t="b">
        <f t="shared" si="20"/>
        <v>1</v>
      </c>
    </row>
    <row r="422" spans="1:41" ht="12" customHeight="1" x14ac:dyDescent="0.2">
      <c r="A422" s="15" t="s">
        <v>597</v>
      </c>
      <c r="C422" s="15" t="s">
        <v>596</v>
      </c>
      <c r="E422" s="24">
        <v>813667</v>
      </c>
      <c r="G422" s="24">
        <v>105</v>
      </c>
      <c r="I422" s="24">
        <v>234197</v>
      </c>
      <c r="K422" s="24">
        <v>0</v>
      </c>
      <c r="M422" s="24">
        <v>474326</v>
      </c>
      <c r="O422" s="24">
        <v>389512</v>
      </c>
      <c r="Q422" s="24">
        <v>222777</v>
      </c>
      <c r="S422" s="24">
        <v>1616398</v>
      </c>
      <c r="U422" s="24">
        <v>420496</v>
      </c>
      <c r="W422" s="24">
        <v>35681</v>
      </c>
      <c r="Y422" s="24">
        <v>112457</v>
      </c>
      <c r="AA422" s="24">
        <v>0</v>
      </c>
      <c r="AC422" s="24">
        <v>0</v>
      </c>
      <c r="AE422" s="24">
        <f t="shared" si="18"/>
        <v>4319616</v>
      </c>
      <c r="AF422" s="24"/>
      <c r="AG422" s="24">
        <v>-225011</v>
      </c>
      <c r="AH422" s="24"/>
      <c r="AI422" s="24">
        <v>3394553</v>
      </c>
      <c r="AJ422" s="24"/>
      <c r="AK422" s="24">
        <v>3169542</v>
      </c>
      <c r="AL422" s="24">
        <f>+'Gov Rev'!AI422-'Gov Exp'!AE422+'Gov Exp'!AI422-'Gov Exp'!AK422</f>
        <v>0</v>
      </c>
      <c r="AM422" s="15" t="str">
        <f>'Gov Rev'!A422</f>
        <v>Montpelier</v>
      </c>
      <c r="AN422" s="15" t="str">
        <f t="shared" si="19"/>
        <v>Montpelier</v>
      </c>
      <c r="AO422" s="15" t="b">
        <f t="shared" si="20"/>
        <v>1</v>
      </c>
    </row>
    <row r="423" spans="1:41" ht="12" customHeight="1" x14ac:dyDescent="0.2">
      <c r="A423" s="24" t="s">
        <v>323</v>
      </c>
      <c r="B423" s="24"/>
      <c r="C423" s="24" t="s">
        <v>316</v>
      </c>
      <c r="D423" s="24"/>
      <c r="E423" s="24">
        <v>1915339</v>
      </c>
      <c r="G423" s="24">
        <v>19036</v>
      </c>
      <c r="I423" s="24">
        <v>0</v>
      </c>
      <c r="K423" s="24">
        <v>97052</v>
      </c>
      <c r="M423" s="24">
        <v>1323665</v>
      </c>
      <c r="O423" s="24">
        <v>552266</v>
      </c>
      <c r="Q423" s="24">
        <v>1692897</v>
      </c>
      <c r="S423" s="24">
        <v>1592723</v>
      </c>
      <c r="U423" s="24">
        <v>143035</v>
      </c>
      <c r="W423" s="24">
        <v>16307</v>
      </c>
      <c r="Y423" s="24">
        <v>2231047</v>
      </c>
      <c r="AA423" s="24">
        <v>29000</v>
      </c>
      <c r="AC423" s="24">
        <v>0</v>
      </c>
      <c r="AE423" s="24">
        <f t="shared" si="18"/>
        <v>9612367</v>
      </c>
      <c r="AF423" s="24"/>
      <c r="AG423" s="24">
        <v>-1376989</v>
      </c>
      <c r="AH423" s="24"/>
      <c r="AI423" s="24">
        <v>8469028</v>
      </c>
      <c r="AJ423" s="24"/>
      <c r="AK423" s="24">
        <v>7092039</v>
      </c>
      <c r="AL423" s="24">
        <f>+'Gov Rev'!AI423-'Gov Exp'!AE423+'Gov Exp'!AI423-'Gov Exp'!AK423</f>
        <v>0</v>
      </c>
      <c r="AM423" s="15" t="str">
        <f>'Gov Rev'!A423</f>
        <v>Moreland Hills</v>
      </c>
      <c r="AN423" s="15" t="str">
        <f t="shared" si="19"/>
        <v>Moreland Hills</v>
      </c>
      <c r="AO423" s="15" t="b">
        <f t="shared" si="20"/>
        <v>1</v>
      </c>
    </row>
    <row r="424" spans="1:41" ht="12" customHeight="1" x14ac:dyDescent="0.2">
      <c r="A424" s="1" t="s">
        <v>930</v>
      </c>
      <c r="B424" s="1"/>
      <c r="C424" s="1" t="s">
        <v>463</v>
      </c>
      <c r="E424" s="24">
        <v>7779.13</v>
      </c>
      <c r="G424" s="24">
        <v>2969.87</v>
      </c>
      <c r="I424" s="24">
        <v>7218.93</v>
      </c>
      <c r="K424" s="24">
        <v>0</v>
      </c>
      <c r="M424" s="24">
        <v>0</v>
      </c>
      <c r="O424" s="24">
        <v>31549.37</v>
      </c>
      <c r="Q424" s="24">
        <v>17815.009999999998</v>
      </c>
      <c r="S424" s="24">
        <v>0</v>
      </c>
      <c r="U424" s="24">
        <v>0</v>
      </c>
      <c r="W424" s="24">
        <v>0</v>
      </c>
      <c r="Y424" s="24">
        <v>0</v>
      </c>
      <c r="AA424" s="24">
        <v>0</v>
      </c>
      <c r="AC424" s="24">
        <v>0</v>
      </c>
      <c r="AE424" s="24">
        <f t="shared" si="18"/>
        <v>67332.31</v>
      </c>
      <c r="AF424" s="24"/>
      <c r="AG424" s="24">
        <v>-13054.18</v>
      </c>
      <c r="AH424" s="24"/>
      <c r="AI424" s="24">
        <v>49240.95</v>
      </c>
      <c r="AJ424" s="24"/>
      <c r="AK424" s="24">
        <v>36186.769999999997</v>
      </c>
      <c r="AL424" s="24">
        <f>+'Gov Rev'!AI424-'Gov Exp'!AE424+'Gov Exp'!AI424-'Gov Exp'!AK424</f>
        <v>0</v>
      </c>
      <c r="AM424" s="15" t="str">
        <f>'Gov Rev'!A424</f>
        <v>Morral</v>
      </c>
      <c r="AN424" s="15" t="str">
        <f t="shared" si="19"/>
        <v>Morral</v>
      </c>
      <c r="AO424" s="15" t="b">
        <f t="shared" si="20"/>
        <v>1</v>
      </c>
    </row>
    <row r="425" spans="1:41" ht="12" customHeight="1" x14ac:dyDescent="0.2">
      <c r="A425" s="1" t="s">
        <v>18</v>
      </c>
      <c r="B425" s="1"/>
      <c r="C425" s="1" t="s">
        <v>741</v>
      </c>
      <c r="E425" s="24">
        <v>24817.83</v>
      </c>
      <c r="G425" s="24">
        <v>1200</v>
      </c>
      <c r="I425" s="24">
        <v>0</v>
      </c>
      <c r="K425" s="24">
        <v>0</v>
      </c>
      <c r="M425" s="24">
        <v>0</v>
      </c>
      <c r="O425" s="24">
        <v>11348.84</v>
      </c>
      <c r="Q425" s="24">
        <v>29728.85</v>
      </c>
      <c r="S425" s="24">
        <v>9227.66</v>
      </c>
      <c r="U425" s="24">
        <v>1001.17</v>
      </c>
      <c r="W425" s="24">
        <v>24466.01</v>
      </c>
      <c r="Y425" s="24">
        <v>0</v>
      </c>
      <c r="AA425" s="24">
        <v>0</v>
      </c>
      <c r="AC425" s="24">
        <v>0</v>
      </c>
      <c r="AE425" s="24">
        <f t="shared" si="18"/>
        <v>101790.35999999999</v>
      </c>
      <c r="AF425" s="24"/>
      <c r="AG425" s="24">
        <v>404418.81</v>
      </c>
      <c r="AH425" s="24"/>
      <c r="AI425" s="24">
        <v>128434.45</v>
      </c>
      <c r="AJ425" s="24"/>
      <c r="AK425" s="24">
        <v>532853.26</v>
      </c>
      <c r="AL425" s="24">
        <f>+'Gov Rev'!AI425-'Gov Exp'!AE425+'Gov Exp'!AI425-'Gov Exp'!AK425</f>
        <v>0</v>
      </c>
      <c r="AM425" s="15" t="str">
        <f>'Gov Rev'!A425</f>
        <v>Morristown</v>
      </c>
      <c r="AN425" s="15" t="str">
        <f t="shared" si="19"/>
        <v>Morristown</v>
      </c>
      <c r="AO425" s="15" t="b">
        <f t="shared" si="20"/>
        <v>1</v>
      </c>
    </row>
    <row r="426" spans="1:41" ht="12" customHeight="1" x14ac:dyDescent="0.2">
      <c r="A426" s="1" t="s">
        <v>243</v>
      </c>
      <c r="B426" s="1"/>
      <c r="C426" s="1" t="s">
        <v>809</v>
      </c>
      <c r="E426" s="24">
        <v>212906.66</v>
      </c>
      <c r="G426" s="24">
        <v>716.3</v>
      </c>
      <c r="I426" s="24">
        <v>10823.48</v>
      </c>
      <c r="K426" s="24">
        <v>4898.74</v>
      </c>
      <c r="M426" s="24">
        <v>123207.26</v>
      </c>
      <c r="O426" s="24">
        <v>48256.29</v>
      </c>
      <c r="Q426" s="24">
        <v>230985.2</v>
      </c>
      <c r="S426" s="24">
        <v>0</v>
      </c>
      <c r="U426" s="24">
        <v>23052.560000000001</v>
      </c>
      <c r="W426" s="24">
        <v>5278.06</v>
      </c>
      <c r="Y426" s="24">
        <v>0</v>
      </c>
      <c r="AA426" s="24">
        <v>0</v>
      </c>
      <c r="AC426" s="24">
        <v>0</v>
      </c>
      <c r="AE426" s="24">
        <f t="shared" si="18"/>
        <v>660124.55000000005</v>
      </c>
      <c r="AF426" s="24"/>
      <c r="AG426" s="24">
        <v>114282.8</v>
      </c>
      <c r="AH426" s="24"/>
      <c r="AI426" s="24">
        <v>303163.95</v>
      </c>
      <c r="AJ426" s="24"/>
      <c r="AK426" s="24">
        <v>417446.75</v>
      </c>
      <c r="AL426" s="24">
        <f>+'Gov Rev'!AI426-'Gov Exp'!AE426+'Gov Exp'!AI426-'Gov Exp'!AK426</f>
        <v>0</v>
      </c>
      <c r="AM426" s="15" t="str">
        <f>'Gov Rev'!A426</f>
        <v>Morrow</v>
      </c>
      <c r="AN426" s="15" t="str">
        <f t="shared" si="19"/>
        <v>Morrow</v>
      </c>
      <c r="AO426" s="15" t="b">
        <f t="shared" si="20"/>
        <v>1</v>
      </c>
    </row>
    <row r="427" spans="1:41" ht="12" customHeight="1" x14ac:dyDescent="0.2">
      <c r="A427" s="1" t="s">
        <v>298</v>
      </c>
      <c r="B427" s="1"/>
      <c r="C427" s="1" t="s">
        <v>295</v>
      </c>
      <c r="E427" s="24">
        <v>55138.58</v>
      </c>
      <c r="G427" s="24">
        <v>35504.97</v>
      </c>
      <c r="I427" s="24">
        <v>646462.93999999994</v>
      </c>
      <c r="K427" s="24">
        <v>14319.68</v>
      </c>
      <c r="M427" s="24">
        <v>24448.3</v>
      </c>
      <c r="O427" s="24">
        <v>10971.48</v>
      </c>
      <c r="Q427" s="24">
        <v>407495.58</v>
      </c>
      <c r="S427" s="24">
        <v>72120.600000000006</v>
      </c>
      <c r="U427" s="24">
        <v>47468.800000000003</v>
      </c>
      <c r="W427" s="24">
        <v>23406.58</v>
      </c>
      <c r="Y427" s="24">
        <v>0</v>
      </c>
      <c r="AA427" s="24">
        <v>0</v>
      </c>
      <c r="AC427" s="24">
        <v>0</v>
      </c>
      <c r="AE427" s="24">
        <f t="shared" si="18"/>
        <v>1337337.5100000002</v>
      </c>
      <c r="AF427" s="24"/>
      <c r="AG427" s="24">
        <v>-150743.01999999999</v>
      </c>
      <c r="AH427" s="24"/>
      <c r="AI427" s="24">
        <v>1293742.81</v>
      </c>
      <c r="AJ427" s="24"/>
      <c r="AK427" s="24">
        <v>1142999.79</v>
      </c>
      <c r="AL427" s="24">
        <f>+'Gov Rev'!AI427-'Gov Exp'!AE427+'Gov Exp'!AI427-'Gov Exp'!AK427</f>
        <v>0</v>
      </c>
      <c r="AM427" s="15" t="str">
        <f>'Gov Rev'!A427</f>
        <v>Moscow</v>
      </c>
      <c r="AN427" s="15" t="str">
        <f t="shared" si="19"/>
        <v>Moscow</v>
      </c>
      <c r="AO427" s="15" t="b">
        <f t="shared" si="20"/>
        <v>1</v>
      </c>
    </row>
    <row r="428" spans="1:41" s="31" customFormat="1" ht="12" customHeight="1" x14ac:dyDescent="0.2">
      <c r="A428" s="1" t="s">
        <v>249</v>
      </c>
      <c r="B428" s="1"/>
      <c r="C428" s="1" t="s">
        <v>811</v>
      </c>
      <c r="D428" s="15"/>
      <c r="E428" s="24">
        <v>84622.28</v>
      </c>
      <c r="F428" s="24"/>
      <c r="G428" s="24">
        <v>3860.16</v>
      </c>
      <c r="H428" s="24"/>
      <c r="I428" s="24">
        <v>3358.08</v>
      </c>
      <c r="J428" s="24"/>
      <c r="K428" s="24">
        <v>0</v>
      </c>
      <c r="L428" s="24"/>
      <c r="M428" s="24">
        <v>0</v>
      </c>
      <c r="N428" s="24"/>
      <c r="O428" s="24">
        <v>36849.32</v>
      </c>
      <c r="P428" s="24"/>
      <c r="Q428" s="24">
        <v>76414.37</v>
      </c>
      <c r="R428" s="24"/>
      <c r="S428" s="24">
        <v>0</v>
      </c>
      <c r="T428" s="24"/>
      <c r="U428" s="24">
        <v>0</v>
      </c>
      <c r="V428" s="24"/>
      <c r="W428" s="24">
        <v>0</v>
      </c>
      <c r="X428" s="24"/>
      <c r="Y428" s="24">
        <v>15000</v>
      </c>
      <c r="Z428" s="24"/>
      <c r="AA428" s="24">
        <v>0</v>
      </c>
      <c r="AB428" s="24"/>
      <c r="AC428" s="24">
        <v>0</v>
      </c>
      <c r="AD428" s="24"/>
      <c r="AE428" s="24">
        <f t="shared" si="18"/>
        <v>220104.21</v>
      </c>
      <c r="AF428" s="24"/>
      <c r="AG428" s="24">
        <v>12637.09</v>
      </c>
      <c r="AH428" s="24"/>
      <c r="AI428" s="24">
        <v>153981.70000000001</v>
      </c>
      <c r="AJ428" s="24"/>
      <c r="AK428" s="24">
        <v>166618.79</v>
      </c>
      <c r="AL428" s="24">
        <f>+'Gov Rev'!AI428-'Gov Exp'!AE428+'Gov Exp'!AI428-'Gov Exp'!AK428</f>
        <v>0</v>
      </c>
      <c r="AM428" s="15" t="str">
        <f>'Gov Rev'!A428</f>
        <v>Mount Eaton</v>
      </c>
      <c r="AN428" s="15" t="str">
        <f t="shared" si="19"/>
        <v>Mount Eaton</v>
      </c>
      <c r="AO428" s="15" t="b">
        <f t="shared" si="20"/>
        <v>1</v>
      </c>
    </row>
    <row r="429" spans="1:41" ht="12" customHeight="1" x14ac:dyDescent="0.2">
      <c r="A429" s="1" t="s">
        <v>141</v>
      </c>
      <c r="B429" s="1"/>
      <c r="C429" s="1" t="s">
        <v>778</v>
      </c>
      <c r="D429" s="28"/>
      <c r="E429" s="24">
        <v>335405.63</v>
      </c>
      <c r="G429" s="24">
        <v>251.94</v>
      </c>
      <c r="I429" s="24">
        <v>10383.27</v>
      </c>
      <c r="K429" s="24">
        <v>10546.48</v>
      </c>
      <c r="M429" s="24">
        <v>484.88</v>
      </c>
      <c r="O429" s="24">
        <v>101530.22</v>
      </c>
      <c r="Q429" s="24">
        <v>242146.41</v>
      </c>
      <c r="S429" s="24">
        <v>26055.7</v>
      </c>
      <c r="U429" s="24">
        <v>5000</v>
      </c>
      <c r="W429" s="24">
        <v>0</v>
      </c>
      <c r="Y429" s="24">
        <v>22471.45</v>
      </c>
      <c r="AA429" s="24">
        <v>0</v>
      </c>
      <c r="AC429" s="24">
        <v>0</v>
      </c>
      <c r="AE429" s="24">
        <f t="shared" si="18"/>
        <v>754275.98</v>
      </c>
      <c r="AF429" s="24"/>
      <c r="AG429" s="24">
        <v>115573.18</v>
      </c>
      <c r="AH429" s="24"/>
      <c r="AI429" s="24">
        <v>204581.33</v>
      </c>
      <c r="AJ429" s="24"/>
      <c r="AK429" s="24">
        <v>320154.51</v>
      </c>
      <c r="AL429" s="24">
        <f>+'Gov Rev'!AI429-'Gov Exp'!AE429+'Gov Exp'!AI429-'Gov Exp'!AK429</f>
        <v>0</v>
      </c>
      <c r="AM429" s="15" t="str">
        <f>'Gov Rev'!A429</f>
        <v>Mount Sterling</v>
      </c>
      <c r="AN429" s="15" t="str">
        <f t="shared" si="19"/>
        <v>Mount Sterling</v>
      </c>
      <c r="AO429" s="15" t="b">
        <f t="shared" si="20"/>
        <v>1</v>
      </c>
    </row>
    <row r="430" spans="1:41" ht="12" customHeight="1" x14ac:dyDescent="0.2">
      <c r="A430" s="1" t="s">
        <v>99</v>
      </c>
      <c r="B430" s="1"/>
      <c r="C430" s="1" t="s">
        <v>764</v>
      </c>
      <c r="E430" s="24">
        <v>16619.95</v>
      </c>
      <c r="G430" s="24">
        <v>3128</v>
      </c>
      <c r="I430" s="24">
        <v>7528.88</v>
      </c>
      <c r="K430" s="24">
        <v>1254.8499999999999</v>
      </c>
      <c r="M430" s="24">
        <v>0</v>
      </c>
      <c r="O430" s="24">
        <v>30691.02</v>
      </c>
      <c r="Q430" s="24">
        <v>50860.66</v>
      </c>
      <c r="S430" s="24">
        <v>0</v>
      </c>
      <c r="U430" s="24">
        <v>0</v>
      </c>
      <c r="W430" s="24">
        <v>0</v>
      </c>
      <c r="Y430" s="24">
        <v>0</v>
      </c>
      <c r="AA430" s="24">
        <v>0</v>
      </c>
      <c r="AC430" s="24">
        <v>69.489999999999995</v>
      </c>
      <c r="AE430" s="24">
        <f t="shared" si="18"/>
        <v>110152.85</v>
      </c>
      <c r="AF430" s="24"/>
      <c r="AG430" s="24">
        <v>-19966.53</v>
      </c>
      <c r="AH430" s="24"/>
      <c r="AI430" s="24">
        <v>117163.28</v>
      </c>
      <c r="AJ430" s="24"/>
      <c r="AK430" s="24">
        <v>97196.75</v>
      </c>
      <c r="AL430" s="24">
        <f>+'Gov Rev'!AI430-'Gov Exp'!AE430+'Gov Exp'!AI430-'Gov Exp'!AK430</f>
        <v>0</v>
      </c>
      <c r="AM430" s="15" t="str">
        <f>'Gov Rev'!A430</f>
        <v>Mount Victory</v>
      </c>
      <c r="AN430" s="15" t="str">
        <f t="shared" si="19"/>
        <v>Mount Victory</v>
      </c>
      <c r="AO430" s="15" t="b">
        <f t="shared" si="20"/>
        <v>1</v>
      </c>
    </row>
    <row r="431" spans="1:41" ht="12" customHeight="1" x14ac:dyDescent="0.2">
      <c r="A431" s="1" t="s">
        <v>410</v>
      </c>
      <c r="B431" s="1"/>
      <c r="C431" s="1" t="s">
        <v>409</v>
      </c>
      <c r="E431" s="24">
        <v>33780.47</v>
      </c>
      <c r="G431" s="24">
        <v>0</v>
      </c>
      <c r="I431" s="24">
        <v>0</v>
      </c>
      <c r="K431" s="24">
        <v>0</v>
      </c>
      <c r="M431" s="24">
        <v>19704.59</v>
      </c>
      <c r="O431" s="24">
        <v>14194</v>
      </c>
      <c r="Q431" s="24">
        <v>37988.660000000003</v>
      </c>
      <c r="S431" s="24">
        <v>0</v>
      </c>
      <c r="U431" s="24">
        <v>21957.96</v>
      </c>
      <c r="W431" s="24">
        <v>1412.7</v>
      </c>
      <c r="Y431" s="24">
        <v>0</v>
      </c>
      <c r="AA431" s="24">
        <v>10000</v>
      </c>
      <c r="AC431" s="24">
        <v>0</v>
      </c>
      <c r="AE431" s="24">
        <f t="shared" si="18"/>
        <v>139038.38</v>
      </c>
      <c r="AF431" s="24"/>
      <c r="AG431" s="24">
        <v>-9506.8700000000008</v>
      </c>
      <c r="AH431" s="24"/>
      <c r="AI431" s="24">
        <v>191555.91</v>
      </c>
      <c r="AJ431" s="24"/>
      <c r="AK431" s="24">
        <v>182049.04</v>
      </c>
      <c r="AL431" s="24">
        <f>+'Gov Rev'!AI431-'Gov Exp'!AE431+'Gov Exp'!AI431-'Gov Exp'!AK431</f>
        <v>0</v>
      </c>
      <c r="AM431" s="15" t="str">
        <f>'Gov Rev'!A431</f>
        <v>Mowrystown</v>
      </c>
      <c r="AN431" s="15" t="str">
        <f t="shared" si="19"/>
        <v>Mowrystown</v>
      </c>
      <c r="AO431" s="15" t="b">
        <f t="shared" si="20"/>
        <v>1</v>
      </c>
    </row>
    <row r="432" spans="1:41" ht="12" customHeight="1" x14ac:dyDescent="0.2">
      <c r="A432" s="1"/>
      <c r="B432" s="1"/>
      <c r="C432" s="1"/>
      <c r="AE432" s="24"/>
      <c r="AF432" s="24"/>
      <c r="AG432" s="24"/>
      <c r="AH432" s="24"/>
      <c r="AI432" s="24"/>
      <c r="AJ432" s="24"/>
      <c r="AK432" s="24"/>
      <c r="AL432" s="24"/>
    </row>
    <row r="433" spans="1:41" ht="12" customHeight="1" x14ac:dyDescent="0.2">
      <c r="A433" s="1"/>
      <c r="B433" s="1"/>
      <c r="C433" s="1"/>
      <c r="AE433" s="77" t="s">
        <v>850</v>
      </c>
      <c r="AF433" s="24"/>
      <c r="AG433" s="24"/>
      <c r="AH433" s="24"/>
      <c r="AI433" s="24"/>
      <c r="AJ433" s="24"/>
      <c r="AK433" s="24"/>
      <c r="AL433" s="24"/>
    </row>
    <row r="434" spans="1:41" ht="12" customHeight="1" x14ac:dyDescent="0.2">
      <c r="A434" s="1"/>
      <c r="B434" s="1"/>
      <c r="C434" s="1"/>
      <c r="AE434" s="24"/>
      <c r="AF434" s="24"/>
      <c r="AG434" s="24"/>
      <c r="AH434" s="24"/>
      <c r="AI434" s="24"/>
      <c r="AJ434" s="24"/>
      <c r="AK434" s="24"/>
      <c r="AL434" s="24"/>
    </row>
    <row r="435" spans="1:41" ht="12" customHeight="1" x14ac:dyDescent="0.2">
      <c r="A435" s="1" t="s">
        <v>390</v>
      </c>
      <c r="B435" s="1"/>
      <c r="C435" s="1" t="s">
        <v>388</v>
      </c>
      <c r="E435" s="91">
        <v>5443.69</v>
      </c>
      <c r="F435" s="91"/>
      <c r="G435" s="91">
        <v>221.4</v>
      </c>
      <c r="H435" s="91"/>
      <c r="I435" s="91">
        <v>11634.82</v>
      </c>
      <c r="J435" s="91"/>
      <c r="K435" s="91">
        <v>4832.8999999999996</v>
      </c>
      <c r="L435" s="91"/>
      <c r="M435" s="91">
        <v>617.82000000000005</v>
      </c>
      <c r="N435" s="91"/>
      <c r="O435" s="91">
        <v>20057.09</v>
      </c>
      <c r="P435" s="91"/>
      <c r="Q435" s="91">
        <v>55981.16</v>
      </c>
      <c r="R435" s="91"/>
      <c r="S435" s="91">
        <v>0</v>
      </c>
      <c r="T435" s="91"/>
      <c r="U435" s="91">
        <v>1112.3</v>
      </c>
      <c r="V435" s="91"/>
      <c r="W435" s="91">
        <v>9.15</v>
      </c>
      <c r="X435" s="91"/>
      <c r="Y435" s="91">
        <v>14205</v>
      </c>
      <c r="Z435" s="91"/>
      <c r="AA435" s="91">
        <v>0</v>
      </c>
      <c r="AB435" s="91"/>
      <c r="AC435" s="91">
        <v>688.35</v>
      </c>
      <c r="AD435" s="91"/>
      <c r="AE435" s="91">
        <f t="shared" si="18"/>
        <v>114803.68000000001</v>
      </c>
      <c r="AF435" s="24"/>
      <c r="AG435" s="24">
        <v>-1225.27</v>
      </c>
      <c r="AH435" s="24"/>
      <c r="AI435" s="24">
        <v>67817.899999999994</v>
      </c>
      <c r="AJ435" s="24"/>
      <c r="AK435" s="24">
        <v>66592.63</v>
      </c>
      <c r="AL435" s="24">
        <f>+'Gov Rev'!AI432-'Gov Exp'!AE435+'Gov Exp'!AI435-'Gov Exp'!AK435</f>
        <v>0</v>
      </c>
      <c r="AM435" s="15" t="str">
        <f>'Gov Rev'!A432</f>
        <v>Mt. Blanchard</v>
      </c>
      <c r="AN435" s="15" t="str">
        <f t="shared" si="19"/>
        <v>Mt. Blanchard</v>
      </c>
      <c r="AO435" s="15" t="b">
        <f t="shared" si="20"/>
        <v>1</v>
      </c>
    </row>
    <row r="436" spans="1:41" ht="12" customHeight="1" x14ac:dyDescent="0.2">
      <c r="A436" s="15" t="s">
        <v>391</v>
      </c>
      <c r="C436" s="15" t="s">
        <v>388</v>
      </c>
      <c r="E436" s="24">
        <f>8689+9738</f>
        <v>18427</v>
      </c>
      <c r="G436" s="24">
        <v>771</v>
      </c>
      <c r="I436" s="24">
        <v>5346</v>
      </c>
      <c r="K436" s="24">
        <v>0</v>
      </c>
      <c r="M436" s="24">
        <v>4286</v>
      </c>
      <c r="O436" s="24">
        <v>78</v>
      </c>
      <c r="Q436" s="24">
        <v>30100</v>
      </c>
      <c r="S436" s="24">
        <v>0</v>
      </c>
      <c r="U436" s="24">
        <v>0</v>
      </c>
      <c r="W436" s="24">
        <v>0</v>
      </c>
      <c r="Y436" s="24">
        <v>0</v>
      </c>
      <c r="AA436" s="24">
        <v>0</v>
      </c>
      <c r="AC436" s="24">
        <v>0</v>
      </c>
      <c r="AE436" s="24">
        <f t="shared" si="18"/>
        <v>59008</v>
      </c>
      <c r="AF436" s="24"/>
      <c r="AG436" s="24">
        <f>-10471+3262</f>
        <v>-7209</v>
      </c>
      <c r="AH436" s="24"/>
      <c r="AI436" s="24">
        <f>15303+75985</f>
        <v>91288</v>
      </c>
      <c r="AJ436" s="24"/>
      <c r="AK436" s="24">
        <f>4831+79247</f>
        <v>84078</v>
      </c>
      <c r="AL436" s="24">
        <f>+'Gov Rev'!AI433-'Gov Exp'!AE436+'Gov Exp'!AI436-'Gov Exp'!AK436</f>
        <v>0</v>
      </c>
      <c r="AM436" s="15" t="str">
        <f>'Gov Rev'!A433</f>
        <v>Mt. Cory</v>
      </c>
      <c r="AN436" s="15" t="str">
        <f t="shared" si="19"/>
        <v>Mt. Cory</v>
      </c>
      <c r="AO436" s="15" t="b">
        <f t="shared" si="20"/>
        <v>1</v>
      </c>
    </row>
    <row r="437" spans="1:41" ht="12" customHeight="1" x14ac:dyDescent="0.2">
      <c r="A437" s="15" t="s">
        <v>962</v>
      </c>
      <c r="C437" s="15" t="s">
        <v>243</v>
      </c>
      <c r="E437" s="24">
        <v>1846605</v>
      </c>
      <c r="G437" s="24">
        <v>3131</v>
      </c>
      <c r="I437" s="24">
        <v>0</v>
      </c>
      <c r="K437" s="24">
        <v>0</v>
      </c>
      <c r="M437" s="24">
        <v>0</v>
      </c>
      <c r="O437" s="24">
        <f>134167+516301</f>
        <v>650468</v>
      </c>
      <c r="Q437" s="24">
        <v>169863</v>
      </c>
      <c r="S437" s="24">
        <v>395572</v>
      </c>
      <c r="U437" s="24">
        <f>354382+525662</f>
        <v>880044</v>
      </c>
      <c r="W437" s="24">
        <v>47044</v>
      </c>
      <c r="Y437" s="24">
        <v>1134195</v>
      </c>
      <c r="AA437" s="24">
        <v>0</v>
      </c>
      <c r="AC437" s="24">
        <v>0</v>
      </c>
      <c r="AE437" s="24">
        <f t="shared" si="18"/>
        <v>5126922</v>
      </c>
      <c r="AF437" s="24"/>
      <c r="AG437" s="24">
        <v>-294750</v>
      </c>
      <c r="AH437" s="24"/>
      <c r="AI437" s="24">
        <f>AK437-AG437</f>
        <v>6044978</v>
      </c>
      <c r="AJ437" s="24"/>
      <c r="AK437" s="24">
        <v>5750228</v>
      </c>
      <c r="AL437" s="24">
        <f>+'Gov Rev'!AI434-'Gov Exp'!AE437+'Gov Exp'!AI437-'Gov Exp'!AK437</f>
        <v>0</v>
      </c>
      <c r="AM437" s="15" t="str">
        <f>'Gov Rev'!A434</f>
        <v>Mt. Gilead</v>
      </c>
      <c r="AN437" s="15" t="str">
        <f t="shared" si="19"/>
        <v>Mt. Gilead</v>
      </c>
      <c r="AO437" s="15" t="b">
        <f t="shared" si="20"/>
        <v>1</v>
      </c>
    </row>
    <row r="438" spans="1:41" s="31" customFormat="1" ht="12" customHeight="1" x14ac:dyDescent="0.2">
      <c r="A438" s="1" t="s">
        <v>24</v>
      </c>
      <c r="B438" s="1"/>
      <c r="C438" s="1" t="s">
        <v>742</v>
      </c>
      <c r="D438" s="15"/>
      <c r="E438" s="24">
        <v>3503594.25</v>
      </c>
      <c r="F438" s="24"/>
      <c r="G438" s="24">
        <v>10421</v>
      </c>
      <c r="H438" s="24"/>
      <c r="I438" s="24">
        <v>42816.07</v>
      </c>
      <c r="J438" s="24"/>
      <c r="K438" s="24">
        <v>51854.97</v>
      </c>
      <c r="L438" s="24"/>
      <c r="M438" s="24">
        <v>86623.48</v>
      </c>
      <c r="N438" s="24"/>
      <c r="O438" s="24">
        <v>697467.55</v>
      </c>
      <c r="P438" s="24"/>
      <c r="Q438" s="24">
        <v>329575.48</v>
      </c>
      <c r="R438" s="24"/>
      <c r="S438" s="24">
        <v>18779</v>
      </c>
      <c r="T438" s="24"/>
      <c r="U438" s="24">
        <v>3360841.95</v>
      </c>
      <c r="V438" s="24"/>
      <c r="W438" s="24">
        <v>298084.07</v>
      </c>
      <c r="X438" s="24"/>
      <c r="Y438" s="24">
        <v>316417.46000000002</v>
      </c>
      <c r="Z438" s="24"/>
      <c r="AA438" s="24">
        <v>40685</v>
      </c>
      <c r="AB438" s="24"/>
      <c r="AC438" s="24">
        <v>8242.36</v>
      </c>
      <c r="AD438" s="24"/>
      <c r="AE438" s="24">
        <f t="shared" si="18"/>
        <v>8765402.6400000006</v>
      </c>
      <c r="AF438" s="24"/>
      <c r="AG438" s="24">
        <v>-853663.16</v>
      </c>
      <c r="AH438" s="24"/>
      <c r="AI438" s="24">
        <v>2056191.76</v>
      </c>
      <c r="AJ438" s="24"/>
      <c r="AK438" s="24">
        <v>1202528.6000000001</v>
      </c>
      <c r="AL438" s="24">
        <f>+'Gov Rev'!AI435-'Gov Exp'!AE438+'Gov Exp'!AI438-'Gov Exp'!AK438</f>
        <v>0</v>
      </c>
      <c r="AM438" s="15" t="str">
        <f>'Gov Rev'!A435</f>
        <v>Mt. Orab</v>
      </c>
      <c r="AN438" s="15" t="str">
        <f t="shared" si="19"/>
        <v>Mt. Orab</v>
      </c>
      <c r="AO438" s="15" t="b">
        <f t="shared" si="20"/>
        <v>1</v>
      </c>
    </row>
    <row r="439" spans="1:41" s="29" customFormat="1" ht="12" customHeight="1" x14ac:dyDescent="0.2">
      <c r="A439" s="1" t="s">
        <v>112</v>
      </c>
      <c r="B439" s="1"/>
      <c r="C439" s="1" t="s">
        <v>768</v>
      </c>
      <c r="D439" s="15"/>
      <c r="E439" s="24">
        <v>28276.22</v>
      </c>
      <c r="F439" s="24"/>
      <c r="G439" s="24">
        <v>0</v>
      </c>
      <c r="H439" s="24"/>
      <c r="I439" s="24">
        <v>32619.5</v>
      </c>
      <c r="J439" s="24"/>
      <c r="K439" s="24">
        <v>0</v>
      </c>
      <c r="L439" s="24"/>
      <c r="M439" s="24">
        <v>0</v>
      </c>
      <c r="N439" s="24"/>
      <c r="O439" s="24">
        <v>11820.1</v>
      </c>
      <c r="P439" s="24"/>
      <c r="Q439" s="24">
        <v>55553.5</v>
      </c>
      <c r="R439" s="24"/>
      <c r="S439" s="24">
        <v>0</v>
      </c>
      <c r="T439" s="24"/>
      <c r="U439" s="24">
        <v>5696.56</v>
      </c>
      <c r="V439" s="24"/>
      <c r="W439" s="24">
        <v>360.1</v>
      </c>
      <c r="X439" s="24"/>
      <c r="Y439" s="24">
        <v>0</v>
      </c>
      <c r="Z439" s="24"/>
      <c r="AA439" s="24">
        <v>0</v>
      </c>
      <c r="AB439" s="24"/>
      <c r="AC439" s="24">
        <v>0</v>
      </c>
      <c r="AD439" s="24"/>
      <c r="AE439" s="24">
        <f t="shared" si="18"/>
        <v>134325.98000000001</v>
      </c>
      <c r="AF439" s="24"/>
      <c r="AG439" s="24">
        <v>29.56</v>
      </c>
      <c r="AH439" s="24"/>
      <c r="AI439" s="24">
        <v>72925.009999999995</v>
      </c>
      <c r="AJ439" s="24"/>
      <c r="AK439" s="24">
        <v>72954.570000000007</v>
      </c>
      <c r="AL439" s="24">
        <f>+'Gov Rev'!AI436-'Gov Exp'!AE439+'Gov Exp'!AI439-'Gov Exp'!AK439</f>
        <v>0</v>
      </c>
      <c r="AM439" s="15" t="str">
        <f>'Gov Rev'!A436</f>
        <v>Murray City</v>
      </c>
      <c r="AN439" s="15" t="str">
        <f t="shared" si="19"/>
        <v>Murray City</v>
      </c>
      <c r="AO439" s="15" t="b">
        <f t="shared" si="20"/>
        <v>1</v>
      </c>
    </row>
    <row r="440" spans="1:41" ht="12" customHeight="1" x14ac:dyDescent="0.2">
      <c r="A440" s="1" t="s">
        <v>288</v>
      </c>
      <c r="B440" s="1"/>
      <c r="C440" s="1" t="s">
        <v>287</v>
      </c>
      <c r="E440" s="24">
        <v>4430.67</v>
      </c>
      <c r="G440" s="24">
        <v>0</v>
      </c>
      <c r="I440" s="24">
        <v>0</v>
      </c>
      <c r="K440" s="24">
        <v>0</v>
      </c>
      <c r="M440" s="24">
        <v>0</v>
      </c>
      <c r="O440" s="24">
        <v>550</v>
      </c>
      <c r="Q440" s="24">
        <v>7493.51</v>
      </c>
      <c r="S440" s="24">
        <v>0</v>
      </c>
      <c r="U440" s="24">
        <v>0</v>
      </c>
      <c r="W440" s="24">
        <v>0</v>
      </c>
      <c r="Y440" s="24">
        <v>0</v>
      </c>
      <c r="AA440" s="24">
        <v>0</v>
      </c>
      <c r="AC440" s="24">
        <v>0</v>
      </c>
      <c r="AE440" s="24">
        <f t="shared" si="18"/>
        <v>12474.18</v>
      </c>
      <c r="AF440" s="24"/>
      <c r="AG440" s="24">
        <v>2045.55</v>
      </c>
      <c r="AH440" s="24"/>
      <c r="AI440" s="24">
        <v>57297.84</v>
      </c>
      <c r="AJ440" s="24"/>
      <c r="AK440" s="24">
        <v>59343.39</v>
      </c>
      <c r="AL440" s="24">
        <f>+'Gov Rev'!AI437-'Gov Exp'!AE440+'Gov Exp'!AI440-'Gov Exp'!AK440</f>
        <v>0</v>
      </c>
      <c r="AM440" s="15" t="str">
        <f>'Gov Rev'!A437</f>
        <v>Mutual</v>
      </c>
      <c r="AN440" s="15" t="str">
        <f t="shared" si="19"/>
        <v>Mutual</v>
      </c>
      <c r="AO440" s="15" t="b">
        <f t="shared" si="20"/>
        <v>1</v>
      </c>
    </row>
    <row r="441" spans="1:41" ht="12" customHeight="1" x14ac:dyDescent="0.2">
      <c r="A441" s="1" t="s">
        <v>931</v>
      </c>
      <c r="B441" s="1"/>
      <c r="C441" s="1" t="s">
        <v>412</v>
      </c>
      <c r="E441" s="24">
        <v>9368.27</v>
      </c>
      <c r="G441" s="24">
        <v>432.72</v>
      </c>
      <c r="I441" s="24">
        <v>0</v>
      </c>
      <c r="K441" s="24">
        <v>0</v>
      </c>
      <c r="M441" s="24">
        <v>0</v>
      </c>
      <c r="O441" s="24">
        <v>12981.46</v>
      </c>
      <c r="Q441" s="24">
        <v>27579.01</v>
      </c>
      <c r="S441" s="24">
        <v>0</v>
      </c>
      <c r="U441" s="24">
        <v>9166.14</v>
      </c>
      <c r="W441" s="24">
        <v>0</v>
      </c>
      <c r="Y441" s="24">
        <v>2427</v>
      </c>
      <c r="AA441" s="24">
        <v>0</v>
      </c>
      <c r="AC441" s="24">
        <v>0</v>
      </c>
      <c r="AE441" s="24">
        <f t="shared" si="18"/>
        <v>61954.599999999991</v>
      </c>
      <c r="AF441" s="24"/>
      <c r="AG441" s="24">
        <v>-11277.74</v>
      </c>
      <c r="AH441" s="24"/>
      <c r="AI441" s="24">
        <v>40762.980000000003</v>
      </c>
      <c r="AJ441" s="24"/>
      <c r="AK441" s="24">
        <v>29485.24</v>
      </c>
      <c r="AL441" s="24">
        <f>+'Gov Rev'!AI438-'Gov Exp'!AE441+'Gov Exp'!AI441-'Gov Exp'!AK441</f>
        <v>0</v>
      </c>
      <c r="AM441" s="15" t="str">
        <f>'Gov Rev'!A438</f>
        <v>Nashville</v>
      </c>
      <c r="AN441" s="15" t="str">
        <f t="shared" si="19"/>
        <v>Nashville</v>
      </c>
      <c r="AO441" s="15" t="b">
        <f t="shared" si="20"/>
        <v>1</v>
      </c>
    </row>
    <row r="442" spans="1:41" ht="12" customHeight="1" x14ac:dyDescent="0.2">
      <c r="A442" s="15" t="s">
        <v>546</v>
      </c>
      <c r="C442" s="15" t="s">
        <v>540</v>
      </c>
      <c r="E442" s="24">
        <v>504424</v>
      </c>
      <c r="G442" s="24">
        <v>55250</v>
      </c>
      <c r="I442" s="24">
        <v>20473</v>
      </c>
      <c r="K442" s="24">
        <v>4314</v>
      </c>
      <c r="M442" s="24">
        <v>1484</v>
      </c>
      <c r="O442" s="24">
        <v>241896</v>
      </c>
      <c r="Q442" s="24">
        <v>172034</v>
      </c>
      <c r="S442" s="24">
        <v>148524</v>
      </c>
      <c r="U442" s="24">
        <v>0</v>
      </c>
      <c r="W442" s="24">
        <v>0</v>
      </c>
      <c r="Y442" s="24">
        <v>872000</v>
      </c>
      <c r="AA442" s="24">
        <v>0</v>
      </c>
      <c r="AC442" s="24">
        <v>17454</v>
      </c>
      <c r="AE442" s="24">
        <f t="shared" si="18"/>
        <v>2037853</v>
      </c>
      <c r="AF442" s="24"/>
      <c r="AG442" s="24">
        <v>98149</v>
      </c>
      <c r="AH442" s="24"/>
      <c r="AI442" s="24">
        <v>1233314</v>
      </c>
      <c r="AJ442" s="24"/>
      <c r="AK442" s="24">
        <v>1331463</v>
      </c>
      <c r="AL442" s="24">
        <f>+'Gov Rev'!AI439-'Gov Exp'!AE442+'Gov Exp'!AI442-'Gov Exp'!AK442</f>
        <v>0</v>
      </c>
      <c r="AM442" s="15" t="str">
        <f>'Gov Rev'!A439</f>
        <v>Navarre</v>
      </c>
      <c r="AN442" s="15" t="str">
        <f t="shared" si="19"/>
        <v>Navarre</v>
      </c>
      <c r="AO442" s="15" t="b">
        <f t="shared" si="20"/>
        <v>1</v>
      </c>
    </row>
    <row r="443" spans="1:41" ht="12" customHeight="1" x14ac:dyDescent="0.2">
      <c r="A443" s="15" t="s">
        <v>309</v>
      </c>
      <c r="C443" s="15" t="s">
        <v>308</v>
      </c>
      <c r="E443" s="24">
        <v>287</v>
      </c>
      <c r="G443" s="24">
        <v>40</v>
      </c>
      <c r="I443" s="24">
        <v>425</v>
      </c>
      <c r="K443" s="24">
        <v>5943</v>
      </c>
      <c r="M443" s="24">
        <v>15034</v>
      </c>
      <c r="O443" s="24">
        <v>0</v>
      </c>
      <c r="Q443" s="24">
        <v>0</v>
      </c>
      <c r="S443" s="24">
        <v>0</v>
      </c>
      <c r="U443" s="24">
        <v>0</v>
      </c>
      <c r="W443" s="24">
        <v>0</v>
      </c>
      <c r="Y443" s="24">
        <v>0</v>
      </c>
      <c r="AA443" s="24">
        <v>0</v>
      </c>
      <c r="AC443" s="24">
        <v>0</v>
      </c>
      <c r="AE443" s="24">
        <f t="shared" si="18"/>
        <v>21729</v>
      </c>
      <c r="AF443" s="24"/>
      <c r="AG443" s="24">
        <v>9650</v>
      </c>
      <c r="AH443" s="24"/>
      <c r="AI443" s="24">
        <v>28753</v>
      </c>
      <c r="AJ443" s="24"/>
      <c r="AK443" s="24">
        <v>38403</v>
      </c>
      <c r="AL443" s="24">
        <f>+'Gov Rev'!AI440-'Gov Exp'!AE443+'Gov Exp'!AI443-'Gov Exp'!AK443</f>
        <v>0</v>
      </c>
      <c r="AM443" s="15" t="str">
        <f>'Gov Rev'!A440</f>
        <v>Nellie</v>
      </c>
      <c r="AN443" s="15" t="str">
        <f t="shared" si="19"/>
        <v>Nellie</v>
      </c>
      <c r="AO443" s="15" t="b">
        <f t="shared" si="20"/>
        <v>1</v>
      </c>
    </row>
    <row r="444" spans="1:41" s="24" customFormat="1" ht="12" customHeight="1" x14ac:dyDescent="0.2">
      <c r="A444" s="15" t="s">
        <v>610</v>
      </c>
      <c r="B444" s="15"/>
      <c r="C444" s="15" t="s">
        <v>609</v>
      </c>
      <c r="D444" s="15"/>
      <c r="E444" s="24">
        <v>8677</v>
      </c>
      <c r="G444" s="24">
        <v>3121</v>
      </c>
      <c r="I444" s="24">
        <v>1894</v>
      </c>
      <c r="K444" s="24">
        <v>203</v>
      </c>
      <c r="M444" s="24">
        <v>390</v>
      </c>
      <c r="O444" s="24">
        <v>18724</v>
      </c>
      <c r="Q444" s="24">
        <v>30269</v>
      </c>
      <c r="S444" s="24">
        <v>21006</v>
      </c>
      <c r="U444" s="24">
        <v>83134</v>
      </c>
      <c r="W444" s="24">
        <v>0</v>
      </c>
      <c r="Y444" s="24">
        <v>0</v>
      </c>
      <c r="AA444" s="24">
        <v>0</v>
      </c>
      <c r="AC444" s="24">
        <v>0</v>
      </c>
      <c r="AE444" s="24">
        <f t="shared" si="18"/>
        <v>167418</v>
      </c>
      <c r="AG444" s="24">
        <v>367</v>
      </c>
      <c r="AI444" s="24">
        <v>235718</v>
      </c>
      <c r="AK444" s="24">
        <v>236084</v>
      </c>
      <c r="AL444" s="24">
        <f>+'Gov Rev'!AI441-'Gov Exp'!AE444+'Gov Exp'!AI444-'Gov Exp'!AK444</f>
        <v>0</v>
      </c>
      <c r="AM444" s="15" t="str">
        <f>'Gov Rev'!A441</f>
        <v>Nevada</v>
      </c>
      <c r="AN444" s="15" t="str">
        <f t="shared" si="19"/>
        <v>Nevada</v>
      </c>
      <c r="AO444" s="15" t="b">
        <f t="shared" si="20"/>
        <v>1</v>
      </c>
    </row>
    <row r="445" spans="1:41" ht="12" customHeight="1" x14ac:dyDescent="0.2">
      <c r="A445" s="1" t="s">
        <v>37</v>
      </c>
      <c r="B445" s="1"/>
      <c r="C445" s="1" t="s">
        <v>747</v>
      </c>
      <c r="E445" s="24">
        <v>2572.65</v>
      </c>
      <c r="G445" s="24">
        <v>0</v>
      </c>
      <c r="I445" s="24">
        <v>0</v>
      </c>
      <c r="K445" s="24">
        <v>0</v>
      </c>
      <c r="M445" s="24">
        <v>6244.9</v>
      </c>
      <c r="O445" s="24">
        <v>3891.7</v>
      </c>
      <c r="Q445" s="24">
        <v>25001.54</v>
      </c>
      <c r="S445" s="24">
        <v>0</v>
      </c>
      <c r="U445" s="24">
        <v>0</v>
      </c>
      <c r="W445" s="24">
        <v>0</v>
      </c>
      <c r="Y445" s="24">
        <v>0</v>
      </c>
      <c r="AA445" s="24">
        <v>0</v>
      </c>
      <c r="AC445" s="24">
        <v>0</v>
      </c>
      <c r="AE445" s="24">
        <f t="shared" si="18"/>
        <v>37710.79</v>
      </c>
      <c r="AF445" s="24"/>
      <c r="AG445" s="24">
        <v>-9206.35</v>
      </c>
      <c r="AH445" s="24"/>
      <c r="AI445" s="24">
        <v>55931.22</v>
      </c>
      <c r="AJ445" s="24"/>
      <c r="AK445" s="24">
        <v>46724.87</v>
      </c>
      <c r="AL445" s="24">
        <f>+'Gov Rev'!AI442-'Gov Exp'!AE445+'Gov Exp'!AI445-'Gov Exp'!AK445</f>
        <v>0</v>
      </c>
      <c r="AM445" s="15" t="str">
        <f>'Gov Rev'!A442</f>
        <v>Neville</v>
      </c>
      <c r="AN445" s="15" t="str">
        <f t="shared" si="19"/>
        <v>Neville</v>
      </c>
      <c r="AO445" s="15" t="b">
        <f t="shared" si="20"/>
        <v>1</v>
      </c>
    </row>
    <row r="446" spans="1:41" ht="12" hidden="1" customHeight="1" x14ac:dyDescent="0.2">
      <c r="A446" s="1" t="s">
        <v>355</v>
      </c>
      <c r="B446" s="1"/>
      <c r="C446" s="1" t="s">
        <v>353</v>
      </c>
      <c r="AE446" s="24">
        <f t="shared" si="18"/>
        <v>0</v>
      </c>
      <c r="AF446" s="24"/>
      <c r="AG446" s="24"/>
      <c r="AH446" s="24"/>
      <c r="AI446" s="24"/>
      <c r="AJ446" s="24"/>
      <c r="AK446" s="24"/>
      <c r="AL446" s="24">
        <f>+'Gov Rev'!AI443-'Gov Exp'!AE446+'Gov Exp'!AI446-'Gov Exp'!AK446</f>
        <v>0</v>
      </c>
      <c r="AM446" s="15" t="str">
        <f>'Gov Rev'!A443</f>
        <v>New Albany</v>
      </c>
      <c r="AN446" s="15" t="str">
        <f t="shared" si="19"/>
        <v>New Albany</v>
      </c>
      <c r="AO446" s="15" t="b">
        <f t="shared" si="20"/>
        <v>1</v>
      </c>
    </row>
    <row r="447" spans="1:41" ht="12" customHeight="1" x14ac:dyDescent="0.2">
      <c r="A447" s="1" t="s">
        <v>103</v>
      </c>
      <c r="B447" s="1"/>
      <c r="C447" s="1" t="s">
        <v>765</v>
      </c>
      <c r="D447" s="37"/>
      <c r="E447" s="24">
        <v>14402.16</v>
      </c>
      <c r="G447" s="24">
        <v>0</v>
      </c>
      <c r="I447" s="24">
        <v>0</v>
      </c>
      <c r="K447" s="24">
        <v>0</v>
      </c>
      <c r="M447" s="24">
        <v>0</v>
      </c>
      <c r="O447" s="24">
        <v>31319.02</v>
      </c>
      <c r="Q447" s="24">
        <v>13829.39</v>
      </c>
      <c r="S447" s="24">
        <v>0</v>
      </c>
      <c r="U447" s="24">
        <v>0</v>
      </c>
      <c r="W447" s="24">
        <v>0</v>
      </c>
      <c r="Y447" s="24">
        <v>0</v>
      </c>
      <c r="AA447" s="24">
        <v>2933.04</v>
      </c>
      <c r="AC447" s="24">
        <v>6725.61</v>
      </c>
      <c r="AE447" s="24">
        <f t="shared" si="18"/>
        <v>69209.22</v>
      </c>
      <c r="AF447" s="24"/>
      <c r="AG447" s="24">
        <v>12114.05</v>
      </c>
      <c r="AH447" s="24"/>
      <c r="AI447" s="24">
        <v>40819.129999999997</v>
      </c>
      <c r="AJ447" s="24"/>
      <c r="AK447" s="24">
        <v>52933.18</v>
      </c>
      <c r="AL447" s="24">
        <f>+'Gov Rev'!AI444-'Gov Exp'!AE447+'Gov Exp'!AI447-'Gov Exp'!AK447</f>
        <v>0</v>
      </c>
      <c r="AM447" s="15" t="str">
        <f>'Gov Rev'!A444</f>
        <v>New Athens</v>
      </c>
      <c r="AN447" s="15" t="str">
        <f t="shared" si="19"/>
        <v>New Athens</v>
      </c>
      <c r="AO447" s="15" t="b">
        <f t="shared" si="20"/>
        <v>1</v>
      </c>
    </row>
    <row r="448" spans="1:41" ht="12" customHeight="1" x14ac:dyDescent="0.2">
      <c r="A448" s="1" t="s">
        <v>109</v>
      </c>
      <c r="B448" s="1"/>
      <c r="C448" s="1" t="s">
        <v>766</v>
      </c>
      <c r="E448" s="24">
        <v>3504.2</v>
      </c>
      <c r="G448" s="24">
        <v>0</v>
      </c>
      <c r="I448" s="24">
        <v>1620.73</v>
      </c>
      <c r="K448" s="24">
        <v>0</v>
      </c>
      <c r="M448" s="24">
        <v>0</v>
      </c>
      <c r="O448" s="24">
        <v>1900</v>
      </c>
      <c r="Q448" s="24">
        <v>8667.26</v>
      </c>
      <c r="S448" s="24">
        <v>0</v>
      </c>
      <c r="U448" s="24">
        <v>0</v>
      </c>
      <c r="W448" s="24">
        <v>0</v>
      </c>
      <c r="Y448" s="24">
        <v>0</v>
      </c>
      <c r="AA448" s="24">
        <v>0</v>
      </c>
      <c r="AC448" s="24">
        <v>0</v>
      </c>
      <c r="AE448" s="24">
        <f t="shared" si="18"/>
        <v>15692.19</v>
      </c>
      <c r="AF448" s="24"/>
      <c r="AG448" s="24">
        <v>13460.02</v>
      </c>
      <c r="AH448" s="24"/>
      <c r="AI448" s="24">
        <v>4943.55</v>
      </c>
      <c r="AJ448" s="24"/>
      <c r="AK448" s="24">
        <v>18403.57</v>
      </c>
      <c r="AL448" s="24">
        <f>+'Gov Rev'!AI445-'Gov Exp'!AE448+'Gov Exp'!AI448-'Gov Exp'!AK448</f>
        <v>0</v>
      </c>
      <c r="AM448" s="15" t="str">
        <f>'Gov Rev'!A445</f>
        <v>New Bavaria</v>
      </c>
      <c r="AN448" s="15" t="str">
        <f t="shared" si="19"/>
        <v>New Bavaria</v>
      </c>
      <c r="AO448" s="15" t="b">
        <f t="shared" si="20"/>
        <v>1</v>
      </c>
    </row>
    <row r="449" spans="1:41" s="31" customFormat="1" ht="12" customHeight="1" x14ac:dyDescent="0.2">
      <c r="A449" s="1" t="s">
        <v>149</v>
      </c>
      <c r="B449" s="1"/>
      <c r="C449" s="1" t="s">
        <v>463</v>
      </c>
      <c r="D449" s="28"/>
      <c r="E449" s="24">
        <v>9373.64</v>
      </c>
      <c r="F449" s="24"/>
      <c r="G449" s="24">
        <v>0</v>
      </c>
      <c r="H449" s="24"/>
      <c r="I449" s="24">
        <v>592.71</v>
      </c>
      <c r="J449" s="24"/>
      <c r="K449" s="24">
        <v>0</v>
      </c>
      <c r="L449" s="24"/>
      <c r="M449" s="24">
        <v>0</v>
      </c>
      <c r="N449" s="24"/>
      <c r="O449" s="24">
        <v>3259.23</v>
      </c>
      <c r="P449" s="24"/>
      <c r="Q449" s="24">
        <v>34719.519999999997</v>
      </c>
      <c r="R449" s="24"/>
      <c r="S449" s="24">
        <v>0</v>
      </c>
      <c r="T449" s="24"/>
      <c r="U449" s="24">
        <v>0</v>
      </c>
      <c r="V449" s="24"/>
      <c r="W449" s="24">
        <v>0</v>
      </c>
      <c r="X449" s="24"/>
      <c r="Y449" s="24">
        <v>37.74</v>
      </c>
      <c r="Z449" s="24"/>
      <c r="AA449" s="24">
        <v>0</v>
      </c>
      <c r="AB449" s="24"/>
      <c r="AC449" s="24">
        <v>1452.06</v>
      </c>
      <c r="AD449" s="24"/>
      <c r="AE449" s="24">
        <f t="shared" si="18"/>
        <v>49434.899999999987</v>
      </c>
      <c r="AF449" s="24"/>
      <c r="AG449" s="24">
        <v>15338.11</v>
      </c>
      <c r="AH449" s="24"/>
      <c r="AI449" s="24">
        <v>111499.35</v>
      </c>
      <c r="AJ449" s="24"/>
      <c r="AK449" s="24">
        <v>126837.46</v>
      </c>
      <c r="AL449" s="24">
        <f>+'Gov Rev'!AI446-'Gov Exp'!AE449+'Gov Exp'!AI449-'Gov Exp'!AK449</f>
        <v>0</v>
      </c>
      <c r="AM449" s="15" t="str">
        <f>'Gov Rev'!A446</f>
        <v>New Bloomington</v>
      </c>
      <c r="AN449" s="15" t="str">
        <f t="shared" si="19"/>
        <v>New Bloomington</v>
      </c>
      <c r="AO449" s="15" t="b">
        <f t="shared" si="20"/>
        <v>1</v>
      </c>
    </row>
    <row r="450" spans="1:41" ht="12" customHeight="1" x14ac:dyDescent="0.2">
      <c r="A450" s="1" t="s">
        <v>528</v>
      </c>
      <c r="B450" s="1"/>
      <c r="C450" s="1" t="s">
        <v>529</v>
      </c>
      <c r="E450" s="24">
        <v>837728.04</v>
      </c>
      <c r="G450" s="24">
        <v>19495.21</v>
      </c>
      <c r="I450" s="24">
        <v>27936.52</v>
      </c>
      <c r="K450" s="24">
        <v>21323.8</v>
      </c>
      <c r="M450" s="24">
        <v>219528.06</v>
      </c>
      <c r="O450" s="24">
        <v>118108.89</v>
      </c>
      <c r="Q450" s="24">
        <v>1057452.47</v>
      </c>
      <c r="S450" s="24">
        <v>351272.26</v>
      </c>
      <c r="U450" s="24">
        <v>412554.16</v>
      </c>
      <c r="W450" s="24">
        <v>22826.02</v>
      </c>
      <c r="Y450" s="24">
        <v>479509.28</v>
      </c>
      <c r="AA450" s="24">
        <v>0</v>
      </c>
      <c r="AC450" s="24">
        <v>0</v>
      </c>
      <c r="AE450" s="24">
        <f t="shared" si="18"/>
        <v>3567734.71</v>
      </c>
      <c r="AF450" s="24"/>
      <c r="AG450" s="24">
        <v>-303505.90999999997</v>
      </c>
      <c r="AH450" s="24"/>
      <c r="AI450" s="24">
        <v>1025345.63</v>
      </c>
      <c r="AJ450" s="24"/>
      <c r="AK450" s="24">
        <v>721839.72</v>
      </c>
      <c r="AL450" s="24">
        <f>+'Gov Rev'!AI447-'Gov Exp'!AE450+'Gov Exp'!AI450-'Gov Exp'!AK450</f>
        <v>0</v>
      </c>
      <c r="AM450" s="15" t="str">
        <f>'Gov Rev'!A447</f>
        <v>New Boston</v>
      </c>
      <c r="AN450" s="15" t="str">
        <f t="shared" si="19"/>
        <v>New Boston</v>
      </c>
      <c r="AO450" s="15" t="b">
        <f t="shared" si="20"/>
        <v>1</v>
      </c>
    </row>
    <row r="451" spans="1:41" ht="12" customHeight="1" x14ac:dyDescent="0.2">
      <c r="A451" s="15" t="s">
        <v>277</v>
      </c>
      <c r="C451" s="15" t="s">
        <v>275</v>
      </c>
      <c r="E451" s="24">
        <v>827122</v>
      </c>
      <c r="G451" s="24">
        <v>277</v>
      </c>
      <c r="I451" s="24">
        <v>224015</v>
      </c>
      <c r="K451" s="24">
        <v>0</v>
      </c>
      <c r="M451" s="24">
        <v>0</v>
      </c>
      <c r="O451" s="24">
        <v>665957</v>
      </c>
      <c r="Q451" s="24">
        <v>602886</v>
      </c>
      <c r="S451" s="24">
        <v>1215807</v>
      </c>
      <c r="U451" s="24">
        <v>0</v>
      </c>
      <c r="W451" s="24">
        <v>0</v>
      </c>
      <c r="Y451" s="24">
        <v>425000</v>
      </c>
      <c r="AA451" s="24">
        <v>0</v>
      </c>
      <c r="AC451" s="24">
        <v>0</v>
      </c>
      <c r="AE451" s="24">
        <f t="shared" si="18"/>
        <v>3961064</v>
      </c>
      <c r="AF451" s="24"/>
      <c r="AG451" s="24">
        <v>96452</v>
      </c>
      <c r="AH451" s="24"/>
      <c r="AI451" s="24">
        <v>1802159</v>
      </c>
      <c r="AJ451" s="24"/>
      <c r="AK451" s="24">
        <v>1898611</v>
      </c>
      <c r="AL451" s="24">
        <f>+'Gov Rev'!AI448-'Gov Exp'!AE451+'Gov Exp'!AI451-'Gov Exp'!AK451</f>
        <v>0</v>
      </c>
      <c r="AM451" s="15" t="str">
        <f>'Gov Rev'!A448</f>
        <v>New Bremen</v>
      </c>
      <c r="AN451" s="15" t="str">
        <f t="shared" si="19"/>
        <v>New Bremen</v>
      </c>
      <c r="AO451" s="15" t="b">
        <f t="shared" si="20"/>
        <v>1</v>
      </c>
    </row>
    <row r="452" spans="1:41" ht="12" customHeight="1" x14ac:dyDescent="0.2">
      <c r="A452" s="15" t="s">
        <v>486</v>
      </c>
      <c r="C452" s="15" t="s">
        <v>484</v>
      </c>
      <c r="E452" s="24">
        <v>499461</v>
      </c>
      <c r="G452" s="24">
        <v>0</v>
      </c>
      <c r="I452" s="24">
        <v>22382</v>
      </c>
      <c r="K452" s="24">
        <v>0</v>
      </c>
      <c r="M452" s="24">
        <v>0</v>
      </c>
      <c r="O452" s="24">
        <v>206659</v>
      </c>
      <c r="Q452" s="24">
        <v>287880</v>
      </c>
      <c r="S452" s="24">
        <v>344317</v>
      </c>
      <c r="U452" s="24">
        <v>210982</v>
      </c>
      <c r="W452" s="24">
        <v>0</v>
      </c>
      <c r="Y452" s="24">
        <v>167748</v>
      </c>
      <c r="AA452" s="24">
        <v>224000</v>
      </c>
      <c r="AC452" s="24">
        <v>2251</v>
      </c>
      <c r="AE452" s="24">
        <f t="shared" si="18"/>
        <v>1965680</v>
      </c>
      <c r="AF452" s="24"/>
      <c r="AG452" s="24">
        <v>69490</v>
      </c>
      <c r="AH452" s="24"/>
      <c r="AI452" s="24">
        <v>559726</v>
      </c>
      <c r="AJ452" s="24"/>
      <c r="AK452" s="24">
        <v>629216</v>
      </c>
      <c r="AL452" s="24">
        <f>+'Gov Rev'!AI449-'Gov Exp'!AE452+'Gov Exp'!AI452-'Gov Exp'!AK452</f>
        <v>0</v>
      </c>
      <c r="AM452" s="15" t="str">
        <f>'Gov Rev'!A449</f>
        <v>New Concord</v>
      </c>
      <c r="AN452" s="15" t="str">
        <f t="shared" si="19"/>
        <v>New Concord</v>
      </c>
      <c r="AO452" s="15" t="b">
        <f t="shared" si="20"/>
        <v>1</v>
      </c>
    </row>
    <row r="453" spans="1:41" s="31" customFormat="1" ht="12" customHeight="1" x14ac:dyDescent="0.2">
      <c r="A453" s="1" t="s">
        <v>189</v>
      </c>
      <c r="B453" s="1"/>
      <c r="C453" s="1" t="s">
        <v>793</v>
      </c>
      <c r="D453" s="15"/>
      <c r="E453" s="24">
        <v>13443.62</v>
      </c>
      <c r="F453" s="24"/>
      <c r="G453" s="24">
        <v>24376.94</v>
      </c>
      <c r="H453" s="24"/>
      <c r="I453" s="24">
        <v>10779.43</v>
      </c>
      <c r="J453" s="24"/>
      <c r="K453" s="24">
        <v>50</v>
      </c>
      <c r="L453" s="24"/>
      <c r="M453" s="24">
        <v>0</v>
      </c>
      <c r="N453" s="24"/>
      <c r="O453" s="24">
        <v>40283.21</v>
      </c>
      <c r="P453" s="24"/>
      <c r="Q453" s="24">
        <v>30937.759999999998</v>
      </c>
      <c r="R453" s="24"/>
      <c r="S453" s="24">
        <v>73770.149999999994</v>
      </c>
      <c r="T453" s="24"/>
      <c r="U453" s="24">
        <v>0</v>
      </c>
      <c r="V453" s="24"/>
      <c r="W453" s="24">
        <v>0</v>
      </c>
      <c r="X453" s="24"/>
      <c r="Y453" s="24">
        <v>0</v>
      </c>
      <c r="Z453" s="24"/>
      <c r="AA453" s="24">
        <v>30000</v>
      </c>
      <c r="AB453" s="24"/>
      <c r="AC453" s="24">
        <v>0</v>
      </c>
      <c r="AD453" s="24"/>
      <c r="AE453" s="24">
        <f t="shared" si="18"/>
        <v>223641.11</v>
      </c>
      <c r="AF453" s="24"/>
      <c r="AG453" s="24">
        <v>28411.05</v>
      </c>
      <c r="AH453" s="24"/>
      <c r="AI453" s="24">
        <v>202959.99</v>
      </c>
      <c r="AJ453" s="24"/>
      <c r="AK453" s="24">
        <v>231371.04</v>
      </c>
      <c r="AL453" s="24">
        <f>+'Gov Rev'!AI450-'Gov Exp'!AE453+'Gov Exp'!AI453-'Gov Exp'!AK453</f>
        <v>0</v>
      </c>
      <c r="AM453" s="15" t="str">
        <f>'Gov Rev'!A450</f>
        <v>New Holland</v>
      </c>
      <c r="AN453" s="15" t="str">
        <f t="shared" si="19"/>
        <v>New Holland</v>
      </c>
      <c r="AO453" s="15" t="b">
        <f t="shared" si="20"/>
        <v>1</v>
      </c>
    </row>
    <row r="454" spans="1:41" ht="12" customHeight="1" x14ac:dyDescent="0.2">
      <c r="A454" s="1" t="s">
        <v>12</v>
      </c>
      <c r="B454" s="1"/>
      <c r="C454" s="1" t="s">
        <v>740</v>
      </c>
      <c r="E454" s="24">
        <v>96672.42</v>
      </c>
      <c r="G454" s="24">
        <v>48.96</v>
      </c>
      <c r="I454" s="24">
        <v>26716.25</v>
      </c>
      <c r="K454" s="24">
        <v>0</v>
      </c>
      <c r="M454" s="24">
        <v>30770</v>
      </c>
      <c r="O454" s="24">
        <v>25501.22</v>
      </c>
      <c r="Q454" s="24">
        <v>168691.32</v>
      </c>
      <c r="S454" s="24">
        <v>3200</v>
      </c>
      <c r="U454" s="24">
        <v>79023.91</v>
      </c>
      <c r="W454" s="24">
        <v>8016.54</v>
      </c>
      <c r="Y454" s="24">
        <v>123889.93</v>
      </c>
      <c r="AA454" s="24">
        <v>0</v>
      </c>
      <c r="AC454" s="24">
        <v>0</v>
      </c>
      <c r="AE454" s="24">
        <f t="shared" si="18"/>
        <v>562530.55000000005</v>
      </c>
      <c r="AF454" s="24"/>
      <c r="AG454" s="24">
        <v>177677.05</v>
      </c>
      <c r="AH454" s="24"/>
      <c r="AI454" s="24">
        <v>543370.43999999994</v>
      </c>
      <c r="AJ454" s="24"/>
      <c r="AK454" s="24">
        <v>721047.49</v>
      </c>
      <c r="AL454" s="24">
        <f>+'Gov Rev'!AI451-'Gov Exp'!AE454+'Gov Exp'!AI454-'Gov Exp'!AK454</f>
        <v>0</v>
      </c>
      <c r="AM454" s="15" t="str">
        <f>'Gov Rev'!A451</f>
        <v>New Knoxville</v>
      </c>
      <c r="AN454" s="15" t="str">
        <f t="shared" si="19"/>
        <v>New Knoxville</v>
      </c>
      <c r="AO454" s="15" t="b">
        <f t="shared" si="20"/>
        <v>1</v>
      </c>
    </row>
    <row r="455" spans="1:41" s="31" customFormat="1" ht="12" customHeight="1" x14ac:dyDescent="0.2">
      <c r="A455" s="15" t="s">
        <v>481</v>
      </c>
      <c r="B455" s="15"/>
      <c r="C455" s="15" t="s">
        <v>479</v>
      </c>
      <c r="D455" s="15"/>
      <c r="E455" s="24">
        <v>1295083</v>
      </c>
      <c r="F455" s="24"/>
      <c r="G455" s="24">
        <v>0</v>
      </c>
      <c r="H455" s="24"/>
      <c r="I455" s="24">
        <v>75380</v>
      </c>
      <c r="J455" s="24"/>
      <c r="K455" s="24">
        <v>31564</v>
      </c>
      <c r="L455" s="24"/>
      <c r="M455" s="24">
        <v>0</v>
      </c>
      <c r="N455" s="24"/>
      <c r="O455" s="24">
        <v>123065</v>
      </c>
      <c r="P455" s="24"/>
      <c r="Q455" s="24">
        <v>299110</v>
      </c>
      <c r="R455" s="24"/>
      <c r="S455" s="24">
        <v>357970</v>
      </c>
      <c r="T455" s="24"/>
      <c r="U455" s="24">
        <v>600000</v>
      </c>
      <c r="V455" s="24"/>
      <c r="W455" s="24">
        <v>54159</v>
      </c>
      <c r="X455" s="24"/>
      <c r="Y455" s="24">
        <v>1013379</v>
      </c>
      <c r="Z455" s="24"/>
      <c r="AA455" s="24">
        <v>0</v>
      </c>
      <c r="AB455" s="24"/>
      <c r="AC455" s="24">
        <v>73514</v>
      </c>
      <c r="AD455" s="24"/>
      <c r="AE455" s="24">
        <f t="shared" si="18"/>
        <v>3923224</v>
      </c>
      <c r="AF455" s="24"/>
      <c r="AG455" s="24">
        <v>170988</v>
      </c>
      <c r="AH455" s="24"/>
      <c r="AI455" s="24">
        <v>2276237</v>
      </c>
      <c r="AJ455" s="24"/>
      <c r="AK455" s="24">
        <v>2447225</v>
      </c>
      <c r="AL455" s="24">
        <f>+'Gov Rev'!AI452-'Gov Exp'!AE455+'Gov Exp'!AI455-'Gov Exp'!AK455</f>
        <v>0</v>
      </c>
      <c r="AM455" s="15" t="str">
        <f>'Gov Rev'!A452</f>
        <v>New Lebanon</v>
      </c>
      <c r="AN455" s="15" t="str">
        <f t="shared" si="19"/>
        <v>New Lebanon</v>
      </c>
      <c r="AO455" s="15" t="b">
        <f t="shared" si="20"/>
        <v>1</v>
      </c>
    </row>
    <row r="456" spans="1:41" s="31" customFormat="1" ht="12" customHeight="1" x14ac:dyDescent="0.2">
      <c r="A456" s="15" t="s">
        <v>963</v>
      </c>
      <c r="B456" s="15"/>
      <c r="C456" s="15" t="s">
        <v>500</v>
      </c>
      <c r="D456" s="15"/>
      <c r="E456" s="24">
        <v>379640.63</v>
      </c>
      <c r="F456" s="24"/>
      <c r="G456" s="24">
        <v>4780.53</v>
      </c>
      <c r="H456" s="24"/>
      <c r="I456" s="24">
        <v>9372.65</v>
      </c>
      <c r="J456" s="24"/>
      <c r="K456" s="24">
        <v>0</v>
      </c>
      <c r="L456" s="24"/>
      <c r="M456" s="24">
        <v>0</v>
      </c>
      <c r="N456" s="24"/>
      <c r="O456" s="24">
        <v>44055.8</v>
      </c>
      <c r="P456" s="24"/>
      <c r="Q456" s="24">
        <v>191136.03</v>
      </c>
      <c r="R456" s="24"/>
      <c r="S456" s="24">
        <v>0</v>
      </c>
      <c r="T456" s="24"/>
      <c r="U456" s="24">
        <v>20000</v>
      </c>
      <c r="V456" s="24"/>
      <c r="W456" s="24">
        <v>3097.5</v>
      </c>
      <c r="X456" s="24"/>
      <c r="Y456" s="24">
        <v>0</v>
      </c>
      <c r="Z456" s="24"/>
      <c r="AA456" s="24">
        <v>0</v>
      </c>
      <c r="AB456" s="24"/>
      <c r="AC456" s="24">
        <v>0</v>
      </c>
      <c r="AD456" s="24"/>
      <c r="AE456" s="24">
        <f t="shared" si="18"/>
        <v>652083.14</v>
      </c>
      <c r="AF456" s="24"/>
      <c r="AG456" s="24">
        <v>-11084.91</v>
      </c>
      <c r="AH456" s="24"/>
      <c r="AI456" s="24">
        <v>-345173.77</v>
      </c>
      <c r="AJ456" s="24"/>
      <c r="AK456" s="24">
        <v>-356258.68</v>
      </c>
      <c r="AL456" s="24">
        <f>+'Gov Rev'!AI453-'Gov Exp'!AE456+'Gov Exp'!AI456-'Gov Exp'!AK456</f>
        <v>0</v>
      </c>
      <c r="AM456" s="15" t="str">
        <f>'Gov Rev'!A453</f>
        <v>New Lexington</v>
      </c>
      <c r="AN456" s="15" t="str">
        <f t="shared" si="19"/>
        <v>New Lexington</v>
      </c>
      <c r="AO456" s="15" t="b">
        <f t="shared" si="20"/>
        <v>1</v>
      </c>
    </row>
    <row r="457" spans="1:41" ht="12" customHeight="1" x14ac:dyDescent="0.2">
      <c r="A457" s="15" t="s">
        <v>417</v>
      </c>
      <c r="C457" s="15" t="s">
        <v>416</v>
      </c>
      <c r="E457" s="24">
        <v>322564</v>
      </c>
      <c r="G457" s="24">
        <v>1804</v>
      </c>
      <c r="I457" s="24">
        <v>0</v>
      </c>
      <c r="K457" s="24">
        <v>2870</v>
      </c>
      <c r="M457" s="24">
        <v>0</v>
      </c>
      <c r="O457" s="24">
        <v>0</v>
      </c>
      <c r="Q457" s="24">
        <f>609005-3</f>
        <v>609002</v>
      </c>
      <c r="S457" s="24">
        <v>296697</v>
      </c>
      <c r="U457" s="24">
        <v>30004</v>
      </c>
      <c r="W457" s="24">
        <v>0</v>
      </c>
      <c r="Y457" s="24">
        <v>538035</v>
      </c>
      <c r="AA457" s="24">
        <v>0</v>
      </c>
      <c r="AC457" s="24">
        <v>0</v>
      </c>
      <c r="AE457" s="24">
        <f t="shared" si="18"/>
        <v>1800976</v>
      </c>
      <c r="AF457" s="24"/>
      <c r="AG457" s="24">
        <v>-126799</v>
      </c>
      <c r="AH457" s="24"/>
      <c r="AI457" s="24">
        <v>1105943</v>
      </c>
      <c r="AJ457" s="24"/>
      <c r="AK457" s="24">
        <v>979144</v>
      </c>
      <c r="AL457" s="24">
        <f>+'Gov Rev'!AI454-'Gov Exp'!AE457+'Gov Exp'!AI457-'Gov Exp'!AK457</f>
        <v>0</v>
      </c>
      <c r="AM457" s="15" t="str">
        <f>'Gov Rev'!A454</f>
        <v>New London</v>
      </c>
      <c r="AN457" s="15" t="str">
        <f t="shared" si="19"/>
        <v>New London</v>
      </c>
      <c r="AO457" s="15" t="b">
        <f t="shared" si="20"/>
        <v>1</v>
      </c>
    </row>
    <row r="458" spans="1:41" ht="12" customHeight="1" x14ac:dyDescent="0.2">
      <c r="A458" s="1" t="s">
        <v>53</v>
      </c>
      <c r="B458" s="1"/>
      <c r="C458" s="1" t="s">
        <v>752</v>
      </c>
      <c r="D458" s="24"/>
      <c r="E458" s="24">
        <v>54788.03</v>
      </c>
      <c r="G458" s="24">
        <v>0</v>
      </c>
      <c r="I458" s="24">
        <v>0</v>
      </c>
      <c r="K458" s="24">
        <v>80906.070000000007</v>
      </c>
      <c r="M458" s="24">
        <v>44460.91</v>
      </c>
      <c r="O458" s="24">
        <v>268421.45</v>
      </c>
      <c r="Q458" s="24">
        <v>178178.69</v>
      </c>
      <c r="S458" s="24">
        <v>0</v>
      </c>
      <c r="U458" s="24">
        <v>0</v>
      </c>
      <c r="W458" s="24">
        <v>0</v>
      </c>
      <c r="Y458" s="24">
        <v>0</v>
      </c>
      <c r="AA458" s="24">
        <v>0</v>
      </c>
      <c r="AC458" s="24">
        <v>0</v>
      </c>
      <c r="AE458" s="24">
        <f t="shared" si="18"/>
        <v>626755.15</v>
      </c>
      <c r="AF458" s="24"/>
      <c r="AG458" s="24">
        <v>-811.18</v>
      </c>
      <c r="AH458" s="24"/>
      <c r="AI458" s="24">
        <v>516093.35</v>
      </c>
      <c r="AJ458" s="24"/>
      <c r="AK458" s="24">
        <v>515282.17</v>
      </c>
      <c r="AL458" s="24">
        <f>+'Gov Rev'!AI455-'Gov Exp'!AE458+'Gov Exp'!AI458-'Gov Exp'!AK458</f>
        <v>0</v>
      </c>
      <c r="AM458" s="15" t="str">
        <f>'Gov Rev'!A455</f>
        <v>New Madison</v>
      </c>
      <c r="AN458" s="15" t="str">
        <f t="shared" si="19"/>
        <v>New Madison</v>
      </c>
      <c r="AO458" s="15" t="b">
        <f t="shared" si="20"/>
        <v>1</v>
      </c>
    </row>
    <row r="459" spans="1:41" s="31" customFormat="1" ht="12" customHeight="1" x14ac:dyDescent="0.2">
      <c r="A459" s="1" t="s">
        <v>932</v>
      </c>
      <c r="B459" s="1"/>
      <c r="C459" s="1" t="s">
        <v>518</v>
      </c>
      <c r="D459" s="15"/>
      <c r="E459" s="24">
        <v>169054.43</v>
      </c>
      <c r="F459" s="24"/>
      <c r="G459" s="24">
        <v>971.8</v>
      </c>
      <c r="H459" s="24"/>
      <c r="I459" s="24">
        <v>33695.42</v>
      </c>
      <c r="J459" s="24"/>
      <c r="K459" s="24">
        <v>0</v>
      </c>
      <c r="L459" s="24"/>
      <c r="M459" s="24">
        <v>12641.99</v>
      </c>
      <c r="N459" s="24"/>
      <c r="O459" s="24">
        <v>100275.87</v>
      </c>
      <c r="P459" s="24"/>
      <c r="Q459" s="24">
        <v>166354.91</v>
      </c>
      <c r="R459" s="24"/>
      <c r="S459" s="24">
        <v>37599</v>
      </c>
      <c r="T459" s="24"/>
      <c r="U459" s="24">
        <v>63370.35</v>
      </c>
      <c r="V459" s="24"/>
      <c r="W459" s="24">
        <v>14234.55</v>
      </c>
      <c r="X459" s="24"/>
      <c r="Y459" s="24">
        <v>0</v>
      </c>
      <c r="Z459" s="24"/>
      <c r="AA459" s="24">
        <v>1498.52</v>
      </c>
      <c r="AB459" s="24"/>
      <c r="AC459" s="24">
        <v>0</v>
      </c>
      <c r="AD459" s="24"/>
      <c r="AE459" s="24">
        <f t="shared" si="18"/>
        <v>599696.84</v>
      </c>
      <c r="AF459" s="24"/>
      <c r="AG459" s="24">
        <v>304217.69</v>
      </c>
      <c r="AH459" s="24"/>
      <c r="AI459" s="24">
        <v>596064.31000000006</v>
      </c>
      <c r="AJ459" s="24"/>
      <c r="AK459" s="24">
        <v>900282</v>
      </c>
      <c r="AL459" s="24">
        <f>+'Gov Rev'!AI456-'Gov Exp'!AE459+'Gov Exp'!AI459-'Gov Exp'!AK459</f>
        <v>0</v>
      </c>
      <c r="AM459" s="15" t="str">
        <f>'Gov Rev'!A456</f>
        <v>New Miami</v>
      </c>
      <c r="AN459" s="15" t="str">
        <f t="shared" si="19"/>
        <v>New Miami</v>
      </c>
      <c r="AO459" s="15" t="b">
        <f t="shared" si="20"/>
        <v>1</v>
      </c>
    </row>
    <row r="460" spans="1:41" s="31" customFormat="1" ht="12" customHeight="1" x14ac:dyDescent="0.2">
      <c r="A460" s="1" t="s">
        <v>145</v>
      </c>
      <c r="B460" s="1"/>
      <c r="C460" s="1" t="s">
        <v>779</v>
      </c>
      <c r="D460" s="15"/>
      <c r="E460" s="24">
        <v>476882.02</v>
      </c>
      <c r="F460" s="24"/>
      <c r="G460" s="24">
        <v>9001.75</v>
      </c>
      <c r="H460" s="24"/>
      <c r="I460" s="24">
        <v>2330.81</v>
      </c>
      <c r="J460" s="24"/>
      <c r="K460" s="24">
        <v>5502.95</v>
      </c>
      <c r="L460" s="24"/>
      <c r="M460" s="24">
        <v>2231.6799999999998</v>
      </c>
      <c r="N460" s="24"/>
      <c r="O460" s="24">
        <v>58847.92</v>
      </c>
      <c r="P460" s="24"/>
      <c r="Q460" s="24">
        <v>195131.01</v>
      </c>
      <c r="R460" s="24"/>
      <c r="S460" s="24">
        <v>70117.740000000005</v>
      </c>
      <c r="T460" s="24"/>
      <c r="U460" s="24">
        <v>0</v>
      </c>
      <c r="V460" s="24"/>
      <c r="W460" s="24">
        <v>0</v>
      </c>
      <c r="X460" s="24"/>
      <c r="Y460" s="24">
        <v>50000</v>
      </c>
      <c r="Z460" s="24"/>
      <c r="AA460" s="24">
        <v>125000</v>
      </c>
      <c r="AB460" s="24"/>
      <c r="AC460" s="24">
        <v>131063.38</v>
      </c>
      <c r="AD460" s="24"/>
      <c r="AE460" s="24">
        <f t="shared" si="18"/>
        <v>1126109.26</v>
      </c>
      <c r="AF460" s="24"/>
      <c r="AG460" s="24">
        <v>-13996.79</v>
      </c>
      <c r="AH460" s="24"/>
      <c r="AI460" s="24">
        <v>582156.06999999995</v>
      </c>
      <c r="AJ460" s="24"/>
      <c r="AK460" s="24">
        <v>568159.28</v>
      </c>
      <c r="AL460" s="24">
        <f>+'Gov Rev'!AI460-'Gov Exp'!AE460+'Gov Exp'!AI460-'Gov Exp'!AK460</f>
        <v>0</v>
      </c>
      <c r="AM460" s="15" t="str">
        <f>'Gov Rev'!A460</f>
        <v>New Middleton</v>
      </c>
      <c r="AN460" s="15" t="str">
        <f t="shared" si="19"/>
        <v>New Middleton</v>
      </c>
      <c r="AO460" s="15" t="b">
        <f t="shared" si="20"/>
        <v>1</v>
      </c>
    </row>
    <row r="461" spans="1:41" ht="12" customHeight="1" x14ac:dyDescent="0.2">
      <c r="A461" s="1" t="s">
        <v>510</v>
      </c>
      <c r="B461" s="1"/>
      <c r="C461" s="1" t="s">
        <v>509</v>
      </c>
      <c r="D461" s="28"/>
      <c r="E461" s="24">
        <v>135532.84</v>
      </c>
      <c r="G461" s="24">
        <v>750</v>
      </c>
      <c r="I461" s="24">
        <v>0</v>
      </c>
      <c r="K461" s="24">
        <v>3189.84</v>
      </c>
      <c r="M461" s="24">
        <v>0</v>
      </c>
      <c r="O461" s="24">
        <v>50159.67</v>
      </c>
      <c r="Q461" s="24">
        <v>64668.67</v>
      </c>
      <c r="S461" s="24">
        <v>481.54</v>
      </c>
      <c r="U461" s="24">
        <v>16653.22</v>
      </c>
      <c r="W461" s="24">
        <v>5249.42</v>
      </c>
      <c r="Y461" s="24">
        <v>111595.14</v>
      </c>
      <c r="AA461" s="24">
        <v>0</v>
      </c>
      <c r="AC461" s="24">
        <v>157.5</v>
      </c>
      <c r="AE461" s="24">
        <f t="shared" si="18"/>
        <v>388437.83999999997</v>
      </c>
      <c r="AF461" s="24"/>
      <c r="AG461" s="24">
        <v>772.35</v>
      </c>
      <c r="AH461" s="24"/>
      <c r="AI461" s="24">
        <v>145598.26</v>
      </c>
      <c r="AJ461" s="24"/>
      <c r="AK461" s="24">
        <v>146370.60999999999</v>
      </c>
      <c r="AL461" s="24">
        <f>+'Gov Rev'!AI461-'Gov Exp'!AE461+'Gov Exp'!AI461-'Gov Exp'!AK461</f>
        <v>0</v>
      </c>
      <c r="AM461" s="15" t="str">
        <f>'Gov Rev'!A461</f>
        <v>New Paris</v>
      </c>
      <c r="AN461" s="15" t="str">
        <f t="shared" si="19"/>
        <v>New Paris</v>
      </c>
      <c r="AO461" s="15" t="b">
        <f t="shared" si="20"/>
        <v>1</v>
      </c>
    </row>
    <row r="462" spans="1:41" s="31" customFormat="1" ht="12" customHeight="1" x14ac:dyDescent="0.2">
      <c r="A462" s="36" t="s">
        <v>38</v>
      </c>
      <c r="B462" s="36"/>
      <c r="C462" s="36" t="s">
        <v>747</v>
      </c>
      <c r="D462" s="37"/>
      <c r="E462" s="24">
        <v>1206336.67</v>
      </c>
      <c r="F462" s="24"/>
      <c r="G462" s="24">
        <v>25719.38</v>
      </c>
      <c r="H462" s="24"/>
      <c r="I462" s="24">
        <v>21849.23</v>
      </c>
      <c r="J462" s="24"/>
      <c r="K462" s="24">
        <v>28005.96</v>
      </c>
      <c r="L462" s="24"/>
      <c r="M462" s="24">
        <v>31214</v>
      </c>
      <c r="N462" s="24"/>
      <c r="O462" s="24">
        <v>232217.5</v>
      </c>
      <c r="P462" s="24"/>
      <c r="Q462" s="24">
        <v>339946.97</v>
      </c>
      <c r="R462" s="24"/>
      <c r="S462" s="24">
        <v>111844.5</v>
      </c>
      <c r="T462" s="24"/>
      <c r="U462" s="24">
        <v>56620.43</v>
      </c>
      <c r="V462" s="24"/>
      <c r="W462" s="24">
        <v>9487.0400000000009</v>
      </c>
      <c r="X462" s="24"/>
      <c r="Y462" s="24">
        <v>181467.62</v>
      </c>
      <c r="Z462" s="24"/>
      <c r="AA462" s="24">
        <v>79564.02</v>
      </c>
      <c r="AB462" s="24"/>
      <c r="AC462" s="24">
        <v>0</v>
      </c>
      <c r="AD462" s="24"/>
      <c r="AE462" s="24">
        <f t="shared" si="18"/>
        <v>2324273.3199999998</v>
      </c>
      <c r="AF462" s="24"/>
      <c r="AG462" s="24">
        <v>76297.2</v>
      </c>
      <c r="AH462" s="24"/>
      <c r="AI462" s="24">
        <v>900093.63</v>
      </c>
      <c r="AJ462" s="24"/>
      <c r="AK462" s="24">
        <v>976390.83</v>
      </c>
      <c r="AL462" s="24">
        <f>+'Gov Rev'!AI462-'Gov Exp'!AE462+'Gov Exp'!AI462-'Gov Exp'!AK462</f>
        <v>0</v>
      </c>
      <c r="AM462" s="15" t="str">
        <f>'Gov Rev'!A462</f>
        <v>New Richmond</v>
      </c>
      <c r="AN462" s="15" t="str">
        <f t="shared" si="19"/>
        <v>New Richmond</v>
      </c>
      <c r="AO462" s="15" t="b">
        <f t="shared" si="20"/>
        <v>1</v>
      </c>
    </row>
    <row r="463" spans="1:41" ht="12" customHeight="1" x14ac:dyDescent="0.2">
      <c r="A463" s="1" t="s">
        <v>220</v>
      </c>
      <c r="B463" s="1"/>
      <c r="C463" s="1" t="s">
        <v>802</v>
      </c>
      <c r="E463" s="24">
        <v>18718.990000000002</v>
      </c>
      <c r="G463" s="24">
        <v>0</v>
      </c>
      <c r="I463" s="24">
        <v>5531.84</v>
      </c>
      <c r="K463" s="24">
        <v>0</v>
      </c>
      <c r="M463" s="24">
        <v>14102.53</v>
      </c>
      <c r="O463" s="24">
        <v>7329.73</v>
      </c>
      <c r="Q463" s="24">
        <v>64728.81</v>
      </c>
      <c r="S463" s="24">
        <v>0</v>
      </c>
      <c r="U463" s="24">
        <v>0</v>
      </c>
      <c r="W463" s="24">
        <v>0</v>
      </c>
      <c r="Y463" s="24">
        <v>0</v>
      </c>
      <c r="AA463" s="24">
        <v>0</v>
      </c>
      <c r="AC463" s="24">
        <v>0</v>
      </c>
      <c r="AE463" s="24">
        <f t="shared" si="18"/>
        <v>110411.9</v>
      </c>
      <c r="AF463" s="24"/>
      <c r="AG463" s="24">
        <v>21666.79</v>
      </c>
      <c r="AH463" s="24"/>
      <c r="AI463" s="24">
        <v>354861.95</v>
      </c>
      <c r="AJ463" s="24"/>
      <c r="AK463" s="24">
        <v>376528.74</v>
      </c>
      <c r="AL463" s="24">
        <f>+'Gov Rev'!AI463-'Gov Exp'!AE463+'Gov Exp'!AI463-'Gov Exp'!AK463</f>
        <v>0</v>
      </c>
      <c r="AM463" s="15" t="str">
        <f>'Gov Rev'!A463</f>
        <v>New Riegel</v>
      </c>
      <c r="AN463" s="15" t="str">
        <f t="shared" si="19"/>
        <v>New Riegel</v>
      </c>
      <c r="AO463" s="15" t="b">
        <f t="shared" si="20"/>
        <v>1</v>
      </c>
    </row>
    <row r="464" spans="1:41" ht="12" customHeight="1" x14ac:dyDescent="0.2">
      <c r="A464" s="15" t="s">
        <v>701</v>
      </c>
      <c r="C464" s="15" t="s">
        <v>500</v>
      </c>
      <c r="E464" s="24">
        <v>52899</v>
      </c>
      <c r="G464" s="24">
        <v>22294</v>
      </c>
      <c r="I464" s="24">
        <v>1040</v>
      </c>
      <c r="K464" s="24">
        <v>0</v>
      </c>
      <c r="M464" s="24">
        <v>25152</v>
      </c>
      <c r="O464" s="24">
        <v>18688</v>
      </c>
      <c r="Q464" s="24">
        <v>39946</v>
      </c>
      <c r="S464" s="24">
        <v>9719</v>
      </c>
      <c r="U464" s="24">
        <v>0</v>
      </c>
      <c r="W464" s="24">
        <v>0</v>
      </c>
      <c r="Y464" s="24">
        <v>0</v>
      </c>
      <c r="AA464" s="24">
        <v>0</v>
      </c>
      <c r="AC464" s="24">
        <v>0</v>
      </c>
      <c r="AE464" s="24">
        <f t="shared" si="18"/>
        <v>169738</v>
      </c>
      <c r="AF464" s="24"/>
      <c r="AG464" s="24">
        <v>53324</v>
      </c>
      <c r="AH464" s="24"/>
      <c r="AI464" s="24">
        <v>72561</v>
      </c>
      <c r="AJ464" s="24"/>
      <c r="AK464" s="24">
        <v>125885</v>
      </c>
      <c r="AL464" s="24">
        <f>+'Gov Rev'!AI464-'Gov Exp'!AE464+'Gov Exp'!AI464-'Gov Exp'!AK464</f>
        <v>0</v>
      </c>
      <c r="AM464" s="15" t="str">
        <f>'Gov Rev'!A464</f>
        <v>New Straitsville</v>
      </c>
      <c r="AN464" s="15" t="str">
        <f t="shared" si="19"/>
        <v>New Straitsville</v>
      </c>
      <c r="AO464" s="15" t="b">
        <f t="shared" si="20"/>
        <v>1</v>
      </c>
    </row>
    <row r="465" spans="1:41" ht="12" customHeight="1" x14ac:dyDescent="0.2">
      <c r="A465" s="1" t="s">
        <v>41</v>
      </c>
      <c r="B465" s="1"/>
      <c r="C465" s="1" t="s">
        <v>748</v>
      </c>
      <c r="E465" s="24">
        <v>73252.42</v>
      </c>
      <c r="G465" s="24">
        <v>0</v>
      </c>
      <c r="I465" s="24">
        <v>0</v>
      </c>
      <c r="K465" s="24">
        <v>0</v>
      </c>
      <c r="M465" s="24">
        <v>1134.6199999999999</v>
      </c>
      <c r="O465" s="24">
        <v>49202.86</v>
      </c>
      <c r="Q465" s="24">
        <v>54681.19</v>
      </c>
      <c r="S465" s="24">
        <v>870636.89</v>
      </c>
      <c r="U465" s="24">
        <v>0</v>
      </c>
      <c r="W465" s="24">
        <v>0</v>
      </c>
      <c r="Y465" s="24">
        <v>0</v>
      </c>
      <c r="AA465" s="24">
        <v>31000</v>
      </c>
      <c r="AC465" s="24">
        <v>0</v>
      </c>
      <c r="AE465" s="24">
        <f t="shared" si="18"/>
        <v>1079907.98</v>
      </c>
      <c r="AF465" s="24"/>
      <c r="AG465" s="24">
        <v>-6926.23</v>
      </c>
      <c r="AH465" s="24"/>
      <c r="AI465" s="24">
        <v>180257.45</v>
      </c>
      <c r="AJ465" s="24"/>
      <c r="AK465" s="24">
        <v>173331.22</v>
      </c>
      <c r="AL465" s="24">
        <f>+'Gov Rev'!AI465-'Gov Exp'!AE465+'Gov Exp'!AI465-'Gov Exp'!AK465</f>
        <v>0</v>
      </c>
      <c r="AM465" s="15" t="str">
        <f>'Gov Rev'!A465</f>
        <v>New Vienna</v>
      </c>
      <c r="AN465" s="15" t="str">
        <f t="shared" si="19"/>
        <v>New Vienna</v>
      </c>
      <c r="AO465" s="15" t="b">
        <f t="shared" si="20"/>
        <v>1</v>
      </c>
    </row>
    <row r="466" spans="1:41" ht="12" customHeight="1" x14ac:dyDescent="0.2">
      <c r="A466" s="1" t="s">
        <v>313</v>
      </c>
      <c r="B466" s="1"/>
      <c r="C466" s="1" t="s">
        <v>312</v>
      </c>
      <c r="E466" s="24">
        <v>134263.1</v>
      </c>
      <c r="G466" s="24">
        <v>5712.21</v>
      </c>
      <c r="I466" s="24">
        <v>41566.51</v>
      </c>
      <c r="K466" s="24">
        <v>763.8</v>
      </c>
      <c r="M466" s="24">
        <v>0</v>
      </c>
      <c r="O466" s="24">
        <v>158506.01999999999</v>
      </c>
      <c r="Q466" s="24">
        <v>140386.74</v>
      </c>
      <c r="S466" s="24">
        <v>130255.25</v>
      </c>
      <c r="U466" s="24">
        <v>0</v>
      </c>
      <c r="W466" s="24">
        <v>0</v>
      </c>
      <c r="Y466" s="24">
        <v>97089.53</v>
      </c>
      <c r="AA466" s="24">
        <v>0</v>
      </c>
      <c r="AC466" s="24">
        <v>0</v>
      </c>
      <c r="AE466" s="24">
        <f t="shared" si="18"/>
        <v>708543.16</v>
      </c>
      <c r="AF466" s="24"/>
      <c r="AG466" s="24">
        <v>-28283.55</v>
      </c>
      <c r="AH466" s="24"/>
      <c r="AI466" s="24">
        <v>772735.59</v>
      </c>
      <c r="AJ466" s="24"/>
      <c r="AK466" s="24">
        <v>744452.04</v>
      </c>
      <c r="AL466" s="24">
        <f>+'Gov Rev'!AI466-'Gov Exp'!AE466+'Gov Exp'!AI466-'Gov Exp'!AK466</f>
        <v>0</v>
      </c>
      <c r="AM466" s="15" t="str">
        <f>'Gov Rev'!A466</f>
        <v>New Washington</v>
      </c>
      <c r="AN466" s="15" t="str">
        <f t="shared" si="19"/>
        <v>New Washington</v>
      </c>
      <c r="AO466" s="15" t="b">
        <f t="shared" si="20"/>
        <v>1</v>
      </c>
    </row>
    <row r="467" spans="1:41" ht="12" customHeight="1" x14ac:dyDescent="0.2">
      <c r="A467" s="1" t="s">
        <v>841</v>
      </c>
      <c r="B467" s="1"/>
      <c r="C467" s="1" t="s">
        <v>749</v>
      </c>
      <c r="E467" s="24">
        <v>233675.38</v>
      </c>
      <c r="G467" s="24">
        <v>0</v>
      </c>
      <c r="I467" s="24">
        <v>7145.32</v>
      </c>
      <c r="K467" s="24">
        <v>0</v>
      </c>
      <c r="M467" s="24">
        <v>0</v>
      </c>
      <c r="O467" s="24">
        <v>74907.87</v>
      </c>
      <c r="Q467" s="24">
        <v>59830.87</v>
      </c>
      <c r="S467" s="24">
        <v>94700.47</v>
      </c>
      <c r="U467" s="24">
        <v>15893.85</v>
      </c>
      <c r="W467" s="24">
        <v>0</v>
      </c>
      <c r="Y467" s="24">
        <v>0</v>
      </c>
      <c r="AA467" s="24">
        <v>1300</v>
      </c>
      <c r="AC467" s="24">
        <v>0</v>
      </c>
      <c r="AE467" s="24">
        <f t="shared" si="18"/>
        <v>487453.76</v>
      </c>
      <c r="AF467" s="24"/>
      <c r="AG467" s="24">
        <v>21382.400000000001</v>
      </c>
      <c r="AH467" s="24"/>
      <c r="AI467" s="24">
        <v>253220.72</v>
      </c>
      <c r="AJ467" s="24"/>
      <c r="AK467" s="24">
        <v>274603.12</v>
      </c>
      <c r="AL467" s="24">
        <f>+'Gov Rev'!AI467-'Gov Exp'!AE467+'Gov Exp'!AI467-'Gov Exp'!AK467</f>
        <v>0</v>
      </c>
      <c r="AM467" s="15" t="str">
        <f>'Gov Rev'!A467</f>
        <v>New Waterford</v>
      </c>
      <c r="AN467" s="15" t="str">
        <f t="shared" si="19"/>
        <v>New Waterford</v>
      </c>
      <c r="AO467" s="15" t="b">
        <f t="shared" si="20"/>
        <v>1</v>
      </c>
    </row>
    <row r="468" spans="1:41" ht="12" customHeight="1" x14ac:dyDescent="0.2">
      <c r="A468" s="15" t="s">
        <v>333</v>
      </c>
      <c r="C468" s="15" t="s">
        <v>329</v>
      </c>
      <c r="E468" s="24">
        <v>7379</v>
      </c>
      <c r="G468" s="24">
        <v>561</v>
      </c>
      <c r="I468" s="24">
        <v>2332</v>
      </c>
      <c r="K468" s="24">
        <v>763</v>
      </c>
      <c r="M468" s="24">
        <v>8953</v>
      </c>
      <c r="O468" s="24">
        <v>913</v>
      </c>
      <c r="Q468" s="24">
        <v>15982</v>
      </c>
      <c r="S468" s="24">
        <v>0</v>
      </c>
      <c r="U468" s="24">
        <v>30345</v>
      </c>
      <c r="W468" s="24">
        <v>0</v>
      </c>
      <c r="Y468" s="24">
        <v>0</v>
      </c>
      <c r="AA468" s="24">
        <v>0</v>
      </c>
      <c r="AC468" s="24">
        <v>0</v>
      </c>
      <c r="AE468" s="24">
        <f t="shared" si="18"/>
        <v>67228</v>
      </c>
      <c r="AF468" s="24"/>
      <c r="AG468" s="24">
        <v>2236</v>
      </c>
      <c r="AH468" s="24"/>
      <c r="AI468" s="24">
        <v>219390</v>
      </c>
      <c r="AJ468" s="24"/>
      <c r="AK468" s="24">
        <v>221626</v>
      </c>
      <c r="AL468" s="24">
        <f>+'Gov Rev'!AI468-'Gov Exp'!AE468+'Gov Exp'!AI468-'Gov Exp'!AK468</f>
        <v>0</v>
      </c>
      <c r="AM468" s="15" t="str">
        <f>'Gov Rev'!A468</f>
        <v>New Weston</v>
      </c>
      <c r="AN468" s="15" t="str">
        <f t="shared" si="19"/>
        <v>New Weston</v>
      </c>
      <c r="AO468" s="15" t="b">
        <f t="shared" si="20"/>
        <v>1</v>
      </c>
    </row>
    <row r="469" spans="1:41" ht="12" customHeight="1" x14ac:dyDescent="0.2">
      <c r="A469" s="15" t="s">
        <v>324</v>
      </c>
      <c r="C469" s="15" t="s">
        <v>316</v>
      </c>
      <c r="E469" s="24">
        <v>1221559</v>
      </c>
      <c r="G469" s="24">
        <v>2226</v>
      </c>
      <c r="I469" s="24">
        <v>15341</v>
      </c>
      <c r="K469" s="24">
        <v>0</v>
      </c>
      <c r="M469" s="24">
        <v>116054</v>
      </c>
      <c r="O469" s="24">
        <v>258701</v>
      </c>
      <c r="Q469" s="24">
        <v>759114</v>
      </c>
      <c r="S469" s="24">
        <v>0</v>
      </c>
      <c r="U469" s="24">
        <v>404848</v>
      </c>
      <c r="W469" s="24">
        <v>0</v>
      </c>
      <c r="Y469" s="24">
        <v>0</v>
      </c>
      <c r="AA469" s="24">
        <v>0</v>
      </c>
      <c r="AC469" s="24">
        <v>0</v>
      </c>
      <c r="AE469" s="24">
        <f t="shared" si="18"/>
        <v>2777843</v>
      </c>
      <c r="AF469" s="24"/>
      <c r="AG469" s="24">
        <v>18018</v>
      </c>
      <c r="AH469" s="24"/>
      <c r="AI469" s="24">
        <v>28579</v>
      </c>
      <c r="AJ469" s="24"/>
      <c r="AK469" s="24">
        <v>46597</v>
      </c>
      <c r="AL469" s="24">
        <f>+'Gov Rev'!AI469-'Gov Exp'!AE469+'Gov Exp'!AI469-'Gov Exp'!AK469</f>
        <v>0</v>
      </c>
      <c r="AM469" s="15" t="str">
        <f>'Gov Rev'!A469</f>
        <v>Newburgh Heights</v>
      </c>
      <c r="AN469" s="15" t="str">
        <f t="shared" si="19"/>
        <v>Newburgh Heights</v>
      </c>
      <c r="AO469" s="15" t="b">
        <f t="shared" si="20"/>
        <v>1</v>
      </c>
    </row>
    <row r="470" spans="1:41" ht="12" customHeight="1" x14ac:dyDescent="0.2">
      <c r="A470" s="15" t="s">
        <v>564</v>
      </c>
      <c r="C470" s="15" t="s">
        <v>560</v>
      </c>
      <c r="E470" s="24">
        <v>580175</v>
      </c>
      <c r="G470" s="24">
        <v>74718</v>
      </c>
      <c r="I470" s="24">
        <v>48084</v>
      </c>
      <c r="K470" s="24">
        <v>0</v>
      </c>
      <c r="M470" s="24">
        <v>3336</v>
      </c>
      <c r="O470" s="24">
        <v>833647</v>
      </c>
      <c r="Q470" s="24">
        <v>355837</v>
      </c>
      <c r="S470" s="24">
        <v>15255</v>
      </c>
      <c r="U470" s="24">
        <v>20007</v>
      </c>
      <c r="W470" s="24">
        <v>0</v>
      </c>
      <c r="Y470" s="24">
        <v>10000</v>
      </c>
      <c r="AA470" s="24">
        <v>0</v>
      </c>
      <c r="AC470" s="24">
        <v>0</v>
      </c>
      <c r="AE470" s="24">
        <f t="shared" si="18"/>
        <v>1941059</v>
      </c>
      <c r="AF470" s="24"/>
      <c r="AG470" s="24">
        <v>-178905</v>
      </c>
      <c r="AH470" s="24"/>
      <c r="AI470" s="24">
        <v>688345</v>
      </c>
      <c r="AJ470" s="24"/>
      <c r="AK470" s="24">
        <v>509440</v>
      </c>
      <c r="AL470" s="24">
        <f>+'Gov Rev'!AI470-'Gov Exp'!AE470+'Gov Exp'!AI470-'Gov Exp'!AK470</f>
        <v>0</v>
      </c>
      <c r="AM470" s="15" t="str">
        <f>'Gov Rev'!A470</f>
        <v>Newcomerstown</v>
      </c>
      <c r="AN470" s="15" t="str">
        <f t="shared" si="19"/>
        <v>Newcomerstown</v>
      </c>
      <c r="AO470" s="15" t="b">
        <f t="shared" si="20"/>
        <v>1</v>
      </c>
    </row>
    <row r="471" spans="1:41" ht="12" customHeight="1" x14ac:dyDescent="0.2">
      <c r="A471" s="15" t="s">
        <v>943</v>
      </c>
      <c r="C471" s="15" t="s">
        <v>805</v>
      </c>
      <c r="E471" s="24">
        <v>1199150</v>
      </c>
      <c r="G471" s="24">
        <v>0</v>
      </c>
      <c r="I471" s="24">
        <v>116979</v>
      </c>
      <c r="K471" s="24">
        <v>17354</v>
      </c>
      <c r="M471" s="24">
        <v>0</v>
      </c>
      <c r="O471" s="24">
        <v>643411</v>
      </c>
      <c r="Q471" s="24">
        <f>1430873+2</f>
        <v>1430875</v>
      </c>
      <c r="S471" s="24">
        <v>211001</v>
      </c>
      <c r="U471" s="24">
        <v>89170</v>
      </c>
      <c r="W471" s="24">
        <v>5051</v>
      </c>
      <c r="Y471" s="24">
        <v>739206</v>
      </c>
      <c r="AA471" s="24">
        <v>5300</v>
      </c>
      <c r="AC471" s="24">
        <v>0</v>
      </c>
      <c r="AE471" s="24">
        <f t="shared" ref="AE471:AE536" si="21">SUM(E471:AC471)</f>
        <v>4457497</v>
      </c>
      <c r="AF471" s="24"/>
      <c r="AG471" s="24">
        <v>-131651</v>
      </c>
      <c r="AH471" s="24"/>
      <c r="AI471" s="24">
        <v>1240043</v>
      </c>
      <c r="AJ471" s="24"/>
      <c r="AK471" s="24">
        <v>1108392</v>
      </c>
      <c r="AL471" s="24">
        <f>+'Gov Rev'!AI471-'Gov Exp'!AE471+'Gov Exp'!AI471-'Gov Exp'!AK471</f>
        <v>0</v>
      </c>
      <c r="AM471" s="15" t="str">
        <f>'Gov Rev'!A471</f>
        <v>Newton Falls</v>
      </c>
      <c r="AN471" s="15" t="str">
        <f t="shared" ref="AN471:AN536" si="22">A471</f>
        <v>Newton Falls</v>
      </c>
      <c r="AO471" s="15" t="b">
        <f t="shared" ref="AO471:AO536" si="23">AM471=AN471</f>
        <v>1</v>
      </c>
    </row>
    <row r="472" spans="1:41" ht="12" hidden="1" customHeight="1" x14ac:dyDescent="0.2">
      <c r="A472" s="1" t="s">
        <v>684</v>
      </c>
      <c r="B472" s="1"/>
      <c r="C472" s="1" t="s">
        <v>295</v>
      </c>
      <c r="AE472" s="24">
        <f t="shared" si="21"/>
        <v>0</v>
      </c>
      <c r="AF472" s="24"/>
      <c r="AG472" s="24"/>
      <c r="AH472" s="24"/>
      <c r="AI472" s="24"/>
      <c r="AJ472" s="24"/>
      <c r="AK472" s="24"/>
      <c r="AL472" s="24">
        <f>+'Gov Rev'!AI472-'Gov Exp'!AE472+'Gov Exp'!AI472-'Gov Exp'!AK472</f>
        <v>0</v>
      </c>
      <c r="AM472" s="15" t="str">
        <f>'Gov Rev'!A472</f>
        <v>Newtonville</v>
      </c>
      <c r="AN472" s="15" t="str">
        <f t="shared" si="22"/>
        <v>Newtonville</v>
      </c>
      <c r="AO472" s="15" t="b">
        <f t="shared" si="23"/>
        <v>1</v>
      </c>
    </row>
    <row r="473" spans="1:41" ht="12" customHeight="1" x14ac:dyDescent="0.2">
      <c r="A473" s="1" t="s">
        <v>96</v>
      </c>
      <c r="B473" s="1"/>
      <c r="C473" s="1" t="s">
        <v>763</v>
      </c>
      <c r="E473" s="24">
        <v>668226.48</v>
      </c>
      <c r="G473" s="24">
        <v>11043.62</v>
      </c>
      <c r="I473" s="24">
        <v>36308.44</v>
      </c>
      <c r="K473" s="24">
        <v>0</v>
      </c>
      <c r="M473" s="24">
        <v>122810.64</v>
      </c>
      <c r="O473" s="24">
        <v>240858.86</v>
      </c>
      <c r="Q473" s="24">
        <v>684365.28</v>
      </c>
      <c r="S473" s="24">
        <v>239456.78</v>
      </c>
      <c r="U473" s="24">
        <v>10029.469999999999</v>
      </c>
      <c r="W473" s="24">
        <v>1452.65</v>
      </c>
      <c r="Y473" s="24">
        <v>277426.33</v>
      </c>
      <c r="AA473" s="24">
        <v>0</v>
      </c>
      <c r="AC473" s="24">
        <v>0</v>
      </c>
      <c r="AE473" s="24">
        <f t="shared" si="21"/>
        <v>2291978.5499999998</v>
      </c>
      <c r="AF473" s="24"/>
      <c r="AG473" s="24">
        <v>66792.639999999999</v>
      </c>
      <c r="AH473" s="24"/>
      <c r="AI473" s="24">
        <v>2049643.57</v>
      </c>
      <c r="AJ473" s="24"/>
      <c r="AK473" s="24">
        <v>2116436.21</v>
      </c>
      <c r="AL473" s="24">
        <f>+'Gov Rev'!AI473-'Gov Exp'!AE473+'Gov Exp'!AI473-'Gov Exp'!AK473</f>
        <v>0</v>
      </c>
      <c r="AM473" s="15" t="str">
        <f>'Gov Rev'!A473</f>
        <v>Newtown</v>
      </c>
      <c r="AN473" s="15" t="str">
        <f t="shared" si="22"/>
        <v>Newtown</v>
      </c>
      <c r="AO473" s="15" t="b">
        <f t="shared" si="23"/>
        <v>1</v>
      </c>
    </row>
    <row r="474" spans="1:41" ht="12" customHeight="1" x14ac:dyDescent="0.2">
      <c r="A474" s="1" t="s">
        <v>55</v>
      </c>
      <c r="B474" s="1"/>
      <c r="C474" s="1" t="s">
        <v>753</v>
      </c>
      <c r="E474" s="24">
        <v>19534.759999999998</v>
      </c>
      <c r="G474" s="24">
        <v>0</v>
      </c>
      <c r="I474" s="24">
        <v>895.43</v>
      </c>
      <c r="K474" s="24">
        <v>0</v>
      </c>
      <c r="M474" s="24">
        <v>168364.36</v>
      </c>
      <c r="O474" s="24">
        <v>41967.53</v>
      </c>
      <c r="Q474" s="24">
        <v>55467.75</v>
      </c>
      <c r="S474" s="24">
        <v>1849.44</v>
      </c>
      <c r="U474" s="24">
        <v>0</v>
      </c>
      <c r="W474" s="24">
        <v>0</v>
      </c>
      <c r="Y474" s="24">
        <v>136846.95000000001</v>
      </c>
      <c r="AA474" s="24">
        <v>0</v>
      </c>
      <c r="AC474" s="24">
        <v>6585</v>
      </c>
      <c r="AE474" s="24">
        <f t="shared" si="21"/>
        <v>431511.22</v>
      </c>
      <c r="AF474" s="24"/>
      <c r="AG474" s="24">
        <v>-144634.01999999999</v>
      </c>
      <c r="AH474" s="24"/>
      <c r="AI474" s="24">
        <v>289459.3</v>
      </c>
      <c r="AJ474" s="24"/>
      <c r="AK474" s="24">
        <v>144825.28</v>
      </c>
      <c r="AL474" s="24">
        <f>+'Gov Rev'!AI474-'Gov Exp'!AE474+'Gov Exp'!AI474-'Gov Exp'!AK474</f>
        <v>0</v>
      </c>
      <c r="AM474" s="15" t="str">
        <f>'Gov Rev'!A474</f>
        <v>Ney</v>
      </c>
      <c r="AN474" s="15" t="str">
        <f t="shared" si="22"/>
        <v>Ney</v>
      </c>
      <c r="AO474" s="15" t="b">
        <f t="shared" si="23"/>
        <v>1</v>
      </c>
    </row>
    <row r="475" spans="1:41" ht="12" customHeight="1" x14ac:dyDescent="0.2">
      <c r="A475" s="15" t="s">
        <v>605</v>
      </c>
      <c r="C475" s="15" t="s">
        <v>601</v>
      </c>
      <c r="E475" s="24">
        <v>504432</v>
      </c>
      <c r="G475" s="24">
        <v>242762</v>
      </c>
      <c r="I475" s="24">
        <v>61126</v>
      </c>
      <c r="K475" s="24">
        <v>137947</v>
      </c>
      <c r="M475" s="24">
        <v>0</v>
      </c>
      <c r="O475" s="24">
        <v>329257</v>
      </c>
      <c r="Q475" s="24">
        <v>295110</v>
      </c>
      <c r="S475" s="24">
        <v>71543</v>
      </c>
      <c r="U475" s="24">
        <v>5072962</v>
      </c>
      <c r="W475" s="24">
        <v>87654</v>
      </c>
      <c r="Y475" s="24">
        <v>270304</v>
      </c>
      <c r="AA475" s="24">
        <v>0</v>
      </c>
      <c r="AC475" s="24">
        <v>0</v>
      </c>
      <c r="AE475" s="24">
        <f t="shared" si="21"/>
        <v>7073097</v>
      </c>
      <c r="AF475" s="24"/>
      <c r="AG475" s="24">
        <v>-266885</v>
      </c>
      <c r="AH475" s="24"/>
      <c r="AI475" s="24">
        <v>2322953</v>
      </c>
      <c r="AJ475" s="24"/>
      <c r="AK475" s="24">
        <v>2056068</v>
      </c>
      <c r="AL475" s="24">
        <f>+'Gov Rev'!AI475-'Gov Exp'!AE475+'Gov Exp'!AI475-'Gov Exp'!AK475</f>
        <v>0</v>
      </c>
      <c r="AM475" s="15" t="str">
        <f>'Gov Rev'!A475</f>
        <v>North Baltimore</v>
      </c>
      <c r="AN475" s="15" t="str">
        <f t="shared" si="22"/>
        <v>North Baltimore</v>
      </c>
      <c r="AO475" s="15" t="b">
        <f t="shared" si="23"/>
        <v>1</v>
      </c>
    </row>
    <row r="476" spans="1:41" s="24" customFormat="1" ht="12" customHeight="1" x14ac:dyDescent="0.2">
      <c r="A476" s="1" t="s">
        <v>97</v>
      </c>
      <c r="B476" s="1"/>
      <c r="C476" s="1" t="s">
        <v>763</v>
      </c>
      <c r="D476" s="28"/>
      <c r="E476" s="24">
        <v>171347.53</v>
      </c>
      <c r="G476" s="24">
        <v>0</v>
      </c>
      <c r="I476" s="24">
        <v>5702.99</v>
      </c>
      <c r="K476" s="24">
        <v>1784.35</v>
      </c>
      <c r="M476" s="24">
        <v>19343.14</v>
      </c>
      <c r="O476" s="24">
        <v>105259.37</v>
      </c>
      <c r="Q476" s="24">
        <v>154694.14000000001</v>
      </c>
      <c r="S476" s="24">
        <v>41122</v>
      </c>
      <c r="U476" s="24">
        <v>0</v>
      </c>
      <c r="W476" s="24">
        <v>0</v>
      </c>
      <c r="Y476" s="24">
        <v>120000</v>
      </c>
      <c r="AA476" s="24">
        <v>0</v>
      </c>
      <c r="AC476" s="24">
        <v>44864.03</v>
      </c>
      <c r="AE476" s="24">
        <f t="shared" si="21"/>
        <v>664117.55000000005</v>
      </c>
      <c r="AG476" s="24">
        <v>-15368.97</v>
      </c>
      <c r="AI476" s="24">
        <v>887279.84</v>
      </c>
      <c r="AK476" s="24">
        <v>871910.87</v>
      </c>
      <c r="AL476" s="24">
        <f>+'Gov Rev'!AI476-'Gov Exp'!AE476+'Gov Exp'!AI476-'Gov Exp'!AK476</f>
        <v>0</v>
      </c>
      <c r="AM476" s="15" t="str">
        <f>'Gov Rev'!A476</f>
        <v>North Bend</v>
      </c>
      <c r="AN476" s="15" t="str">
        <f t="shared" si="22"/>
        <v>North Bend</v>
      </c>
      <c r="AO476" s="15" t="b">
        <f t="shared" si="23"/>
        <v>1</v>
      </c>
    </row>
    <row r="477" spans="1:41" ht="12" customHeight="1" x14ac:dyDescent="0.2">
      <c r="A477" s="1" t="s">
        <v>418</v>
      </c>
      <c r="B477" s="1"/>
      <c r="C477" s="1" t="s">
        <v>416</v>
      </c>
      <c r="D477" s="28"/>
      <c r="E477" s="24">
        <v>8138.62</v>
      </c>
      <c r="G477" s="24">
        <v>0</v>
      </c>
      <c r="I477" s="24">
        <v>4130.55</v>
      </c>
      <c r="K477" s="24">
        <v>716.05</v>
      </c>
      <c r="M477" s="24">
        <v>20095.86</v>
      </c>
      <c r="O477" s="24">
        <v>16202.9</v>
      </c>
      <c r="Q477" s="24">
        <v>83426.679999999993</v>
      </c>
      <c r="S477" s="24">
        <v>18548</v>
      </c>
      <c r="U477" s="24">
        <v>0</v>
      </c>
      <c r="W477" s="24">
        <v>0</v>
      </c>
      <c r="Y477" s="24">
        <v>0</v>
      </c>
      <c r="AA477" s="24">
        <v>0</v>
      </c>
      <c r="AC477" s="24">
        <v>18.399999999999999</v>
      </c>
      <c r="AE477" s="24">
        <f t="shared" si="21"/>
        <v>151277.06</v>
      </c>
      <c r="AF477" s="24"/>
      <c r="AG477" s="24">
        <v>-8127.7</v>
      </c>
      <c r="AH477" s="24"/>
      <c r="AI477" s="24">
        <v>201179.37</v>
      </c>
      <c r="AJ477" s="24"/>
      <c r="AK477" s="24">
        <v>193051.67</v>
      </c>
      <c r="AL477" s="24">
        <f>+'Gov Rev'!AI477-'Gov Exp'!AE477+'Gov Exp'!AI477-'Gov Exp'!AK477</f>
        <v>0</v>
      </c>
      <c r="AM477" s="15" t="str">
        <f>'Gov Rev'!A477</f>
        <v>North Fairfield</v>
      </c>
      <c r="AN477" s="15" t="str">
        <f t="shared" si="22"/>
        <v>North Fairfield</v>
      </c>
      <c r="AO477" s="15" t="b">
        <f t="shared" si="23"/>
        <v>1</v>
      </c>
    </row>
    <row r="478" spans="1:41" ht="12" customHeight="1" x14ac:dyDescent="0.2">
      <c r="A478" s="1" t="s">
        <v>293</v>
      </c>
      <c r="B478" s="1"/>
      <c r="C478" s="1" t="s">
        <v>292</v>
      </c>
      <c r="E478" s="24">
        <v>147601.89000000001</v>
      </c>
      <c r="G478" s="24">
        <v>0</v>
      </c>
      <c r="I478" s="24">
        <v>5102.45</v>
      </c>
      <c r="K478" s="24">
        <v>0</v>
      </c>
      <c r="M478" s="24">
        <v>0</v>
      </c>
      <c r="O478" s="24">
        <v>9972.64</v>
      </c>
      <c r="Q478" s="24">
        <v>93126.24</v>
      </c>
      <c r="S478" s="24">
        <v>0</v>
      </c>
      <c r="U478" s="24">
        <v>0</v>
      </c>
      <c r="W478" s="24">
        <v>0</v>
      </c>
      <c r="Y478" s="24">
        <v>0</v>
      </c>
      <c r="AA478" s="24">
        <v>0</v>
      </c>
      <c r="AC478" s="24">
        <v>0</v>
      </c>
      <c r="AE478" s="24">
        <f t="shared" si="21"/>
        <v>255803.22000000003</v>
      </c>
      <c r="AF478" s="24"/>
      <c r="AG478" s="24">
        <v>34822.07</v>
      </c>
      <c r="AH478" s="24"/>
      <c r="AI478" s="24">
        <v>82178.240000000005</v>
      </c>
      <c r="AJ478" s="24"/>
      <c r="AK478" s="24">
        <v>117000.31</v>
      </c>
      <c r="AL478" s="24">
        <f>+'Gov Rev'!AI478-'Gov Exp'!AE478+'Gov Exp'!AI478-'Gov Exp'!AK478</f>
        <v>0</v>
      </c>
      <c r="AM478" s="15" t="str">
        <f>'Gov Rev'!A478</f>
        <v>North Hampton</v>
      </c>
      <c r="AN478" s="15" t="str">
        <f t="shared" si="22"/>
        <v>North Hampton</v>
      </c>
      <c r="AO478" s="15" t="b">
        <f t="shared" si="23"/>
        <v>1</v>
      </c>
    </row>
    <row r="479" spans="1:41" ht="12" customHeight="1" x14ac:dyDescent="0.2">
      <c r="A479" s="1" t="s">
        <v>685</v>
      </c>
      <c r="B479" s="1"/>
      <c r="C479" s="1" t="s">
        <v>671</v>
      </c>
      <c r="E479" s="24">
        <v>1090491.07</v>
      </c>
      <c r="G479" s="24">
        <v>35451.68</v>
      </c>
      <c r="I479" s="24">
        <v>12791.65</v>
      </c>
      <c r="K479" s="24">
        <v>3401.97</v>
      </c>
      <c r="M479" s="24">
        <v>0</v>
      </c>
      <c r="O479" s="24">
        <v>270342.3</v>
      </c>
      <c r="Q479" s="24">
        <v>357868.4</v>
      </c>
      <c r="S479" s="24">
        <v>96697.279999999999</v>
      </c>
      <c r="U479" s="24">
        <v>61259.01</v>
      </c>
      <c r="W479" s="24">
        <v>10718.07</v>
      </c>
      <c r="Y479" s="24">
        <v>185203</v>
      </c>
      <c r="AA479" s="24">
        <v>30620</v>
      </c>
      <c r="AC479" s="24">
        <v>457.5</v>
      </c>
      <c r="AE479" s="24">
        <f t="shared" si="21"/>
        <v>2155301.9299999997</v>
      </c>
      <c r="AF479" s="24"/>
      <c r="AG479" s="24">
        <v>-53995.72</v>
      </c>
      <c r="AH479" s="24"/>
      <c r="AI479" s="24">
        <v>1127127.1299999999</v>
      </c>
      <c r="AJ479" s="24"/>
      <c r="AK479" s="24">
        <v>1073131.4099999999</v>
      </c>
      <c r="AL479" s="24">
        <f>+'Gov Rev'!AI479-'Gov Exp'!AE479+'Gov Exp'!AI479-'Gov Exp'!AK479</f>
        <v>0</v>
      </c>
      <c r="AM479" s="15" t="str">
        <f>'Gov Rev'!A479</f>
        <v>North Kingsville</v>
      </c>
      <c r="AN479" s="15" t="str">
        <f t="shared" si="22"/>
        <v>North Kingsville</v>
      </c>
      <c r="AO479" s="15" t="b">
        <f t="shared" si="23"/>
        <v>1</v>
      </c>
    </row>
    <row r="480" spans="1:41" ht="12" customHeight="1" x14ac:dyDescent="0.2">
      <c r="A480" s="1" t="s">
        <v>289</v>
      </c>
      <c r="B480" s="1"/>
      <c r="C480" s="1" t="s">
        <v>287</v>
      </c>
      <c r="D480" s="31"/>
      <c r="E480" s="24">
        <v>96610.32</v>
      </c>
      <c r="G480" s="24">
        <v>112.14</v>
      </c>
      <c r="I480" s="24">
        <v>1687.45</v>
      </c>
      <c r="K480" s="24">
        <v>0</v>
      </c>
      <c r="M480" s="24">
        <v>9000</v>
      </c>
      <c r="O480" s="24">
        <v>55852.38</v>
      </c>
      <c r="Q480" s="24">
        <v>169233.56</v>
      </c>
      <c r="S480" s="24">
        <v>0</v>
      </c>
      <c r="U480" s="24">
        <v>0</v>
      </c>
      <c r="W480" s="24">
        <v>0</v>
      </c>
      <c r="Y480" s="24">
        <v>0</v>
      </c>
      <c r="AA480" s="24">
        <v>0</v>
      </c>
      <c r="AC480" s="24">
        <v>7353.05</v>
      </c>
      <c r="AE480" s="24">
        <f t="shared" si="21"/>
        <v>339848.89999999997</v>
      </c>
      <c r="AF480" s="24"/>
      <c r="AG480" s="24">
        <v>67267.34</v>
      </c>
      <c r="AH480" s="24"/>
      <c r="AI480" s="24">
        <v>451808.82</v>
      </c>
      <c r="AJ480" s="24"/>
      <c r="AK480" s="24">
        <v>519076.16</v>
      </c>
      <c r="AL480" s="24">
        <f>+'Gov Rev'!AI480-'Gov Exp'!AE480+'Gov Exp'!AI480-'Gov Exp'!AK480</f>
        <v>0</v>
      </c>
      <c r="AM480" s="15" t="str">
        <f>'Gov Rev'!A480</f>
        <v>North Lewisburg</v>
      </c>
      <c r="AN480" s="15" t="str">
        <f t="shared" si="22"/>
        <v>North Lewisburg</v>
      </c>
      <c r="AO480" s="15" t="b">
        <f t="shared" si="23"/>
        <v>1</v>
      </c>
    </row>
    <row r="481" spans="1:41" ht="12" customHeight="1" x14ac:dyDescent="0.2">
      <c r="A481" s="10" t="s">
        <v>124</v>
      </c>
      <c r="B481" s="10"/>
      <c r="C481" s="10" t="s">
        <v>772</v>
      </c>
      <c r="D481" s="31"/>
      <c r="E481" s="24">
        <v>330552.19</v>
      </c>
      <c r="G481" s="24">
        <v>93867</v>
      </c>
      <c r="I481" s="24">
        <v>819497.11</v>
      </c>
      <c r="K481" s="24">
        <v>114597.72</v>
      </c>
      <c r="M481" s="24">
        <v>271449.39</v>
      </c>
      <c r="O481" s="24">
        <v>122042.47</v>
      </c>
      <c r="Q481" s="24">
        <v>482363.56</v>
      </c>
      <c r="S481" s="24">
        <v>323796.34000000003</v>
      </c>
      <c r="U481" s="24">
        <v>560000</v>
      </c>
      <c r="W481" s="24">
        <v>102012.5</v>
      </c>
      <c r="Y481" s="24">
        <v>662012.5</v>
      </c>
      <c r="AA481" s="24">
        <v>0</v>
      </c>
      <c r="AC481" s="24">
        <v>0</v>
      </c>
      <c r="AE481" s="24">
        <f t="shared" si="21"/>
        <v>3882190.78</v>
      </c>
      <c r="AF481" s="24"/>
      <c r="AG481" s="24">
        <v>-976887.33</v>
      </c>
      <c r="AH481" s="24"/>
      <c r="AI481" s="24">
        <v>13376483.67</v>
      </c>
      <c r="AJ481" s="24"/>
      <c r="AK481" s="24">
        <v>12399596.34</v>
      </c>
      <c r="AL481" s="24">
        <f>+'Gov Rev'!AI481-'Gov Exp'!AE481+'Gov Exp'!AI481-'Gov Exp'!AK481</f>
        <v>0</v>
      </c>
      <c r="AM481" s="15" t="str">
        <f>'Gov Rev'!A481</f>
        <v>North Perry</v>
      </c>
      <c r="AN481" s="15" t="str">
        <f t="shared" si="22"/>
        <v>North Perry</v>
      </c>
      <c r="AO481" s="15" t="b">
        <f t="shared" si="23"/>
        <v>1</v>
      </c>
    </row>
    <row r="482" spans="1:41" ht="12" customHeight="1" x14ac:dyDescent="0.2">
      <c r="A482" s="15" t="s">
        <v>831</v>
      </c>
      <c r="C482" s="15" t="s">
        <v>751</v>
      </c>
      <c r="D482" s="28"/>
      <c r="E482" s="24">
        <v>993853</v>
      </c>
      <c r="G482" s="24">
        <v>0</v>
      </c>
      <c r="I482" s="24">
        <v>0</v>
      </c>
      <c r="K482" s="24">
        <v>106717</v>
      </c>
      <c r="M482" s="24">
        <v>92223</v>
      </c>
      <c r="O482" s="24">
        <v>53894</v>
      </c>
      <c r="Q482" s="24">
        <v>571394</v>
      </c>
      <c r="S482" s="24">
        <v>0</v>
      </c>
      <c r="U482" s="24">
        <v>60000</v>
      </c>
      <c r="W482" s="24">
        <v>118200</v>
      </c>
      <c r="Y482" s="24">
        <v>0</v>
      </c>
      <c r="AA482" s="24">
        <v>0</v>
      </c>
      <c r="AC482" s="24">
        <v>0</v>
      </c>
      <c r="AE482" s="24">
        <f t="shared" si="21"/>
        <v>1996281</v>
      </c>
      <c r="AF482" s="24"/>
      <c r="AG482" s="24">
        <v>-125536</v>
      </c>
      <c r="AH482" s="24"/>
      <c r="AI482" s="24">
        <v>176941</v>
      </c>
      <c r="AJ482" s="24"/>
      <c r="AK482" s="24">
        <v>51405</v>
      </c>
      <c r="AL482" s="24">
        <f>+'Gov Rev'!AI482-'Gov Exp'!AE482+'Gov Exp'!AI482-'Gov Exp'!AK482</f>
        <v>0</v>
      </c>
      <c r="AM482" s="15" t="str">
        <f>'Gov Rev'!A482</f>
        <v>North Randall</v>
      </c>
      <c r="AN482" s="15" t="str">
        <f t="shared" si="22"/>
        <v>North Randall</v>
      </c>
      <c r="AO482" s="15" t="b">
        <f t="shared" si="23"/>
        <v>1</v>
      </c>
    </row>
    <row r="483" spans="1:41" ht="12" customHeight="1" x14ac:dyDescent="0.2">
      <c r="A483" s="15" t="s">
        <v>314</v>
      </c>
      <c r="C483" s="15" t="s">
        <v>312</v>
      </c>
      <c r="E483" s="24">
        <v>5529</v>
      </c>
      <c r="G483" s="24">
        <v>803</v>
      </c>
      <c r="I483" s="24">
        <v>0</v>
      </c>
      <c r="K483" s="24">
        <v>0</v>
      </c>
      <c r="M483" s="24">
        <v>1258</v>
      </c>
      <c r="O483" s="24">
        <v>0</v>
      </c>
      <c r="Q483" s="24">
        <f>16820+2410</f>
        <v>19230</v>
      </c>
      <c r="S483" s="24">
        <v>0</v>
      </c>
      <c r="U483" s="24">
        <v>0</v>
      </c>
      <c r="W483" s="24">
        <v>0</v>
      </c>
      <c r="Y483" s="24">
        <v>0</v>
      </c>
      <c r="AA483" s="24">
        <v>0</v>
      </c>
      <c r="AC483" s="24">
        <v>0</v>
      </c>
      <c r="AE483" s="24">
        <f t="shared" si="21"/>
        <v>26820</v>
      </c>
      <c r="AF483" s="24"/>
      <c r="AG483" s="24">
        <f>-7731+7310</f>
        <v>-421</v>
      </c>
      <c r="AH483" s="24"/>
      <c r="AI483" s="24">
        <f>19561+52544</f>
        <v>72105</v>
      </c>
      <c r="AJ483" s="24"/>
      <c r="AK483" s="24">
        <f>11830+59854</f>
        <v>71684</v>
      </c>
      <c r="AL483" s="24">
        <f>+'Gov Rev'!AI483-'Gov Exp'!AE483+'Gov Exp'!AI483-'Gov Exp'!AK483</f>
        <v>0</v>
      </c>
      <c r="AM483" s="15" t="str">
        <f>'Gov Rev'!A483</f>
        <v>North Robinson</v>
      </c>
      <c r="AN483" s="15" t="str">
        <f t="shared" si="22"/>
        <v>North Robinson</v>
      </c>
      <c r="AO483" s="15" t="b">
        <f t="shared" si="23"/>
        <v>1</v>
      </c>
    </row>
    <row r="484" spans="1:41" ht="12" customHeight="1" x14ac:dyDescent="0.2">
      <c r="A484" s="15" t="s">
        <v>334</v>
      </c>
      <c r="C484" s="15" t="s">
        <v>329</v>
      </c>
      <c r="E484" s="24">
        <v>2518</v>
      </c>
      <c r="G484" s="24">
        <v>0</v>
      </c>
      <c r="I484" s="24">
        <v>10570</v>
      </c>
      <c r="K484" s="24">
        <v>10940</v>
      </c>
      <c r="M484" s="24">
        <v>4539</v>
      </c>
      <c r="O484" s="24">
        <v>241</v>
      </c>
      <c r="Q484" s="24">
        <v>286979</v>
      </c>
      <c r="S484" s="24">
        <v>0</v>
      </c>
      <c r="U484" s="24">
        <v>2329</v>
      </c>
      <c r="W484" s="24">
        <v>0</v>
      </c>
      <c r="Y484" s="24">
        <v>0</v>
      </c>
      <c r="AA484" s="24">
        <v>0</v>
      </c>
      <c r="AC484" s="24">
        <v>0</v>
      </c>
      <c r="AE484" s="24">
        <f t="shared" si="21"/>
        <v>318116</v>
      </c>
      <c r="AF484" s="24"/>
      <c r="AG484" s="24">
        <v>4888</v>
      </c>
      <c r="AH484" s="24"/>
      <c r="AI484" s="24">
        <f>AK484-AG484</f>
        <v>389095</v>
      </c>
      <c r="AJ484" s="24"/>
      <c r="AK484" s="24">
        <v>393983</v>
      </c>
      <c r="AL484" s="24">
        <f>+'Gov Rev'!AI484-'Gov Exp'!AE484+'Gov Exp'!AI484-'Gov Exp'!AK484</f>
        <v>0</v>
      </c>
      <c r="AM484" s="15" t="str">
        <f>'Gov Rev'!A484</f>
        <v xml:space="preserve">North Star </v>
      </c>
      <c r="AN484" s="15" t="str">
        <f t="shared" si="22"/>
        <v xml:space="preserve">North Star </v>
      </c>
      <c r="AO484" s="15" t="b">
        <f t="shared" si="23"/>
        <v>1</v>
      </c>
    </row>
    <row r="485" spans="1:41" ht="12" customHeight="1" x14ac:dyDescent="0.2">
      <c r="A485" s="24" t="s">
        <v>551</v>
      </c>
      <c r="B485" s="24"/>
      <c r="C485" s="24" t="s">
        <v>549</v>
      </c>
      <c r="D485" s="24"/>
      <c r="E485" s="24">
        <v>1406448</v>
      </c>
      <c r="G485" s="24">
        <v>25310</v>
      </c>
      <c r="I485" s="24">
        <v>117753</v>
      </c>
      <c r="K485" s="24">
        <v>0</v>
      </c>
      <c r="M485" s="24">
        <v>0</v>
      </c>
      <c r="O485" s="24">
        <v>585809</v>
      </c>
      <c r="Q485" s="24">
        <v>608496</v>
      </c>
      <c r="S485" s="24">
        <v>111506</v>
      </c>
      <c r="U485" s="24">
        <v>84384</v>
      </c>
      <c r="W485" s="24">
        <v>0</v>
      </c>
      <c r="Y485" s="24">
        <v>0</v>
      </c>
      <c r="AA485" s="24">
        <v>0</v>
      </c>
      <c r="AC485" s="24">
        <v>0</v>
      </c>
      <c r="AE485" s="24">
        <f t="shared" si="21"/>
        <v>2939706</v>
      </c>
      <c r="AF485" s="24"/>
      <c r="AG485" s="24">
        <v>-240525</v>
      </c>
      <c r="AH485" s="24"/>
      <c r="AI485" s="24">
        <v>597243</v>
      </c>
      <c r="AJ485" s="24"/>
      <c r="AK485" s="24">
        <v>356719</v>
      </c>
      <c r="AL485" s="24">
        <f>+'Gov Rev'!AI485-'Gov Exp'!AE485+'Gov Exp'!AI485-'Gov Exp'!AK485</f>
        <v>0</v>
      </c>
      <c r="AM485" s="15" t="str">
        <f>'Gov Rev'!A485</f>
        <v>Northfield</v>
      </c>
      <c r="AN485" s="15" t="str">
        <f t="shared" si="22"/>
        <v>Northfield</v>
      </c>
      <c r="AO485" s="15" t="b">
        <f t="shared" si="23"/>
        <v>1</v>
      </c>
    </row>
    <row r="486" spans="1:41" ht="12" customHeight="1" x14ac:dyDescent="0.2">
      <c r="A486" s="1" t="s">
        <v>176</v>
      </c>
      <c r="B486" s="1"/>
      <c r="C486" s="1" t="s">
        <v>789</v>
      </c>
      <c r="D486" s="31"/>
      <c r="E486" s="24">
        <v>2019.94</v>
      </c>
      <c r="G486" s="24">
        <v>0</v>
      </c>
      <c r="I486" s="24">
        <v>0</v>
      </c>
      <c r="K486" s="24">
        <v>0</v>
      </c>
      <c r="M486" s="24">
        <v>0</v>
      </c>
      <c r="O486" s="24">
        <v>1375</v>
      </c>
      <c r="Q486" s="24">
        <v>15678.26</v>
      </c>
      <c r="S486" s="24">
        <v>803.83</v>
      </c>
      <c r="U486" s="24">
        <v>0</v>
      </c>
      <c r="W486" s="24">
        <v>0</v>
      </c>
      <c r="Y486" s="24">
        <v>0</v>
      </c>
      <c r="AA486" s="24">
        <v>0</v>
      </c>
      <c r="AC486" s="24">
        <v>60</v>
      </c>
      <c r="AE486" s="24">
        <f t="shared" si="21"/>
        <v>19937.030000000002</v>
      </c>
      <c r="AF486" s="24"/>
      <c r="AG486" s="24">
        <v>5959.61</v>
      </c>
      <c r="AH486" s="24"/>
      <c r="AI486" s="24">
        <v>161831.44</v>
      </c>
      <c r="AJ486" s="24"/>
      <c r="AK486" s="24">
        <v>167791.05</v>
      </c>
      <c r="AL486" s="24">
        <f>+'Gov Rev'!AI486-'Gov Exp'!AE486+'Gov Exp'!AI486-'Gov Exp'!AK486</f>
        <v>0</v>
      </c>
      <c r="AM486" s="15" t="str">
        <f>'Gov Rev'!A486</f>
        <v>Norwich</v>
      </c>
      <c r="AN486" s="15" t="str">
        <f t="shared" si="22"/>
        <v>Norwich</v>
      </c>
      <c r="AO486" s="15" t="b">
        <f t="shared" si="23"/>
        <v>1</v>
      </c>
    </row>
    <row r="487" spans="1:41" ht="12" customHeight="1" x14ac:dyDescent="0.2">
      <c r="A487" s="15" t="s">
        <v>494</v>
      </c>
      <c r="C487" s="15" t="s">
        <v>207</v>
      </c>
      <c r="E487" s="24">
        <v>651771</v>
      </c>
      <c r="G487" s="24">
        <v>8235</v>
      </c>
      <c r="I487" s="24">
        <v>58576</v>
      </c>
      <c r="K487" s="24">
        <v>1692</v>
      </c>
      <c r="M487" s="24">
        <v>0</v>
      </c>
      <c r="O487" s="24">
        <v>371360</v>
      </c>
      <c r="Q487" s="24">
        <v>264962</v>
      </c>
      <c r="S487" s="24">
        <v>86329</v>
      </c>
      <c r="U487" s="24">
        <v>0</v>
      </c>
      <c r="W487" s="24">
        <v>0</v>
      </c>
      <c r="Y487" s="24">
        <v>62000</v>
      </c>
      <c r="AA487" s="24">
        <v>0</v>
      </c>
      <c r="AC487" s="24">
        <v>13256</v>
      </c>
      <c r="AE487" s="24">
        <f t="shared" si="21"/>
        <v>1518181</v>
      </c>
      <c r="AF487" s="24"/>
      <c r="AG487" s="24">
        <v>58157</v>
      </c>
      <c r="AH487" s="24"/>
      <c r="AI487" s="24">
        <v>1301076</v>
      </c>
      <c r="AJ487" s="24"/>
      <c r="AK487" s="24">
        <v>1359233</v>
      </c>
      <c r="AL487" s="24">
        <f>+'Gov Rev'!AI487-'Gov Exp'!AE487+'Gov Exp'!AI487-'Gov Exp'!AK487</f>
        <v>0</v>
      </c>
      <c r="AM487" s="15" t="str">
        <f>'Gov Rev'!A487</f>
        <v>Oak Harbor</v>
      </c>
      <c r="AN487" s="15" t="str">
        <f t="shared" si="22"/>
        <v>Oak Harbor</v>
      </c>
      <c r="AO487" s="15" t="b">
        <f t="shared" si="23"/>
        <v>1</v>
      </c>
    </row>
    <row r="488" spans="1:41" s="31" customFormat="1" ht="12" customHeight="1" x14ac:dyDescent="0.2">
      <c r="A488" s="1" t="s">
        <v>114</v>
      </c>
      <c r="B488" s="1"/>
      <c r="C488" s="1" t="s">
        <v>663</v>
      </c>
      <c r="E488" s="24">
        <v>321630.11</v>
      </c>
      <c r="F488" s="24"/>
      <c r="G488" s="24">
        <v>87656.19</v>
      </c>
      <c r="H488" s="24"/>
      <c r="I488" s="24">
        <v>0</v>
      </c>
      <c r="J488" s="24"/>
      <c r="K488" s="24">
        <v>2194.19</v>
      </c>
      <c r="L488" s="24"/>
      <c r="M488" s="24">
        <v>252779.01</v>
      </c>
      <c r="N488" s="24"/>
      <c r="O488" s="24">
        <v>57864.95</v>
      </c>
      <c r="P488" s="24"/>
      <c r="Q488" s="24">
        <v>46570.22</v>
      </c>
      <c r="R488" s="24"/>
      <c r="S488" s="24">
        <v>0</v>
      </c>
      <c r="T488" s="24"/>
      <c r="U488" s="24">
        <v>5712.82</v>
      </c>
      <c r="V488" s="24"/>
      <c r="W488" s="24">
        <v>6.09</v>
      </c>
      <c r="X488" s="24"/>
      <c r="Y488" s="24">
        <v>0</v>
      </c>
      <c r="Z488" s="24"/>
      <c r="AA488" s="24">
        <v>162830.10999999999</v>
      </c>
      <c r="AB488" s="24"/>
      <c r="AC488" s="24">
        <v>13986.15</v>
      </c>
      <c r="AD488" s="24"/>
      <c r="AE488" s="24">
        <f t="shared" si="21"/>
        <v>951229.83999999985</v>
      </c>
      <c r="AF488" s="24"/>
      <c r="AG488" s="24">
        <v>83520.83</v>
      </c>
      <c r="AH488" s="24"/>
      <c r="AI488" s="24">
        <v>375539.35</v>
      </c>
      <c r="AJ488" s="24"/>
      <c r="AK488" s="24">
        <v>459060.18</v>
      </c>
      <c r="AL488" s="24">
        <f>+'Gov Rev'!AI488-'Gov Exp'!AE488+'Gov Exp'!AI488-'Gov Exp'!AK488</f>
        <v>0</v>
      </c>
      <c r="AM488" s="15" t="str">
        <f>'Gov Rev'!A488</f>
        <v>Oak Hill</v>
      </c>
      <c r="AN488" s="15" t="str">
        <f t="shared" si="22"/>
        <v>Oak Hill</v>
      </c>
      <c r="AO488" s="15" t="b">
        <f t="shared" si="23"/>
        <v>1</v>
      </c>
    </row>
    <row r="489" spans="1:41" ht="12" customHeight="1" x14ac:dyDescent="0.2">
      <c r="A489" s="15" t="s">
        <v>325</v>
      </c>
      <c r="C489" s="15" t="s">
        <v>316</v>
      </c>
      <c r="E489" s="24">
        <v>3334163</v>
      </c>
      <c r="G489" s="24">
        <v>0</v>
      </c>
      <c r="I489" s="24">
        <v>219955</v>
      </c>
      <c r="K489" s="24">
        <v>259399</v>
      </c>
      <c r="M489" s="24">
        <v>191988</v>
      </c>
      <c r="O489" s="24">
        <v>1150322</v>
      </c>
      <c r="Q489" s="24">
        <v>2503271</v>
      </c>
      <c r="S489" s="24">
        <v>91321</v>
      </c>
      <c r="U489" s="24">
        <v>8026200</v>
      </c>
      <c r="W489" s="24">
        <v>199473</v>
      </c>
      <c r="Y489" s="24">
        <v>1359766</v>
      </c>
      <c r="AA489" s="24">
        <v>0</v>
      </c>
      <c r="AC489" s="24">
        <f>1348759+108923</f>
        <v>1457682</v>
      </c>
      <c r="AE489" s="24">
        <f t="shared" si="21"/>
        <v>18793540</v>
      </c>
      <c r="AF489" s="24"/>
      <c r="AG489" s="24">
        <v>64418</v>
      </c>
      <c r="AH489" s="24"/>
      <c r="AI489" s="24">
        <v>271793</v>
      </c>
      <c r="AJ489" s="24"/>
      <c r="AK489" s="24">
        <v>336211</v>
      </c>
      <c r="AL489" s="24">
        <f>+'Gov Rev'!AI489-'Gov Exp'!AE489+'Gov Exp'!AI489-'Gov Exp'!AK489</f>
        <v>0</v>
      </c>
      <c r="AM489" s="15" t="str">
        <f>'Gov Rev'!A489</f>
        <v>Oakwood</v>
      </c>
      <c r="AN489" s="15" t="str">
        <f t="shared" si="22"/>
        <v>Oakwood</v>
      </c>
      <c r="AO489" s="15" t="b">
        <f t="shared" si="23"/>
        <v>1</v>
      </c>
    </row>
    <row r="490" spans="1:41" ht="12" customHeight="1" x14ac:dyDescent="0.2">
      <c r="A490" s="15" t="s">
        <v>325</v>
      </c>
      <c r="C490" s="15" t="s">
        <v>496</v>
      </c>
      <c r="E490" s="24">
        <v>165229</v>
      </c>
      <c r="G490" s="24">
        <v>0</v>
      </c>
      <c r="I490" s="24">
        <v>0</v>
      </c>
      <c r="K490" s="24">
        <v>0</v>
      </c>
      <c r="M490" s="24">
        <v>0</v>
      </c>
      <c r="O490" s="24">
        <v>19774</v>
      </c>
      <c r="Q490" s="24">
        <v>89339</v>
      </c>
      <c r="S490" s="24">
        <v>228659</v>
      </c>
      <c r="U490" s="24">
        <v>50722</v>
      </c>
      <c r="W490" s="24">
        <v>15523</v>
      </c>
      <c r="Y490" s="24">
        <v>35000</v>
      </c>
      <c r="AA490" s="24">
        <v>0</v>
      </c>
      <c r="AC490" s="24">
        <v>11000</v>
      </c>
      <c r="AE490" s="24">
        <f t="shared" si="21"/>
        <v>615246</v>
      </c>
      <c r="AF490" s="24"/>
      <c r="AG490" s="24">
        <v>-73495</v>
      </c>
      <c r="AH490" s="24"/>
      <c r="AI490" s="24">
        <v>521588</v>
      </c>
      <c r="AJ490" s="24"/>
      <c r="AK490" s="24">
        <v>448093</v>
      </c>
      <c r="AL490" s="24">
        <f>+'Gov Rev'!AI490-'Gov Exp'!AE490+'Gov Exp'!AI490-'Gov Exp'!AK490</f>
        <v>0</v>
      </c>
      <c r="AM490" s="15" t="str">
        <f>'Gov Rev'!A490</f>
        <v>Oakwood</v>
      </c>
      <c r="AN490" s="15" t="str">
        <f t="shared" si="22"/>
        <v>Oakwood</v>
      </c>
      <c r="AO490" s="15" t="b">
        <f t="shared" si="23"/>
        <v>1</v>
      </c>
    </row>
    <row r="491" spans="1:41" ht="12" customHeight="1" x14ac:dyDescent="0.2">
      <c r="A491" s="37" t="s">
        <v>75</v>
      </c>
      <c r="B491" s="37"/>
      <c r="C491" s="37" t="s">
        <v>353</v>
      </c>
      <c r="E491" s="24">
        <v>1569234.41</v>
      </c>
      <c r="G491" s="24">
        <v>22120.799999999999</v>
      </c>
      <c r="I491" s="24">
        <v>961514.76</v>
      </c>
      <c r="K491" s="24">
        <v>1124853.49</v>
      </c>
      <c r="M491" s="24">
        <v>0</v>
      </c>
      <c r="O491" s="24">
        <v>248392.93</v>
      </c>
      <c r="Q491" s="24">
        <v>1114088.27</v>
      </c>
      <c r="S491" s="24">
        <v>7160137.1600000001</v>
      </c>
      <c r="U491" s="24">
        <v>7078770.5</v>
      </c>
      <c r="W491" s="24">
        <v>815094.17</v>
      </c>
      <c r="Y491" s="24">
        <v>0</v>
      </c>
      <c r="AA491" s="24">
        <v>0</v>
      </c>
      <c r="AC491" s="24">
        <v>0</v>
      </c>
      <c r="AE491" s="24">
        <f t="shared" si="21"/>
        <v>20094206.490000002</v>
      </c>
      <c r="AF491" s="24"/>
      <c r="AG491" s="24">
        <v>2601260.79</v>
      </c>
      <c r="AH491" s="24"/>
      <c r="AI491" s="24">
        <v>4626220.37</v>
      </c>
      <c r="AJ491" s="24"/>
      <c r="AK491" s="24">
        <v>7227481.1600000001</v>
      </c>
      <c r="AL491" s="24">
        <f>+'Gov Rev'!AI491-'Gov Exp'!AE491+'Gov Exp'!AI491-'Gov Exp'!AK491</f>
        <v>0</v>
      </c>
      <c r="AM491" s="15" t="str">
        <f>'Gov Rev'!A491</f>
        <v>Obetz</v>
      </c>
      <c r="AN491" s="15" t="str">
        <f t="shared" si="22"/>
        <v>Obetz</v>
      </c>
      <c r="AO491" s="15" t="b">
        <f t="shared" si="23"/>
        <v>1</v>
      </c>
    </row>
    <row r="492" spans="1:41" ht="12" customHeight="1" x14ac:dyDescent="0.2">
      <c r="A492" s="1" t="s">
        <v>71</v>
      </c>
      <c r="B492" s="1"/>
      <c r="C492" s="1" t="s">
        <v>757</v>
      </c>
      <c r="D492" s="31"/>
      <c r="E492" s="24">
        <v>8543.74</v>
      </c>
      <c r="G492" s="24">
        <v>0</v>
      </c>
      <c r="I492" s="24">
        <v>10816.09</v>
      </c>
      <c r="K492" s="24">
        <v>2365.13</v>
      </c>
      <c r="M492" s="24">
        <v>5424.7</v>
      </c>
      <c r="O492" s="24">
        <v>5149.95</v>
      </c>
      <c r="Q492" s="24">
        <v>54233.13</v>
      </c>
      <c r="S492" s="24">
        <v>2795.77</v>
      </c>
      <c r="U492" s="24">
        <v>0</v>
      </c>
      <c r="W492" s="24">
        <v>0</v>
      </c>
      <c r="Y492" s="24">
        <v>5500</v>
      </c>
      <c r="AA492" s="24">
        <v>9175</v>
      </c>
      <c r="AC492" s="24">
        <v>17612.5</v>
      </c>
      <c r="AE492" s="24">
        <f t="shared" si="21"/>
        <v>121616.01000000001</v>
      </c>
      <c r="AF492" s="24"/>
      <c r="AG492" s="24">
        <v>-21273.119999999999</v>
      </c>
      <c r="AH492" s="24"/>
      <c r="AI492" s="24">
        <v>23864.68</v>
      </c>
      <c r="AJ492" s="24"/>
      <c r="AK492" s="24">
        <v>2591.56</v>
      </c>
      <c r="AL492" s="24">
        <f>+'Gov Rev'!AI492-'Gov Exp'!AE492+'Gov Exp'!AI492-'Gov Exp'!AK492</f>
        <v>-9.5496943686157465E-12</v>
      </c>
      <c r="AM492" s="15" t="str">
        <f>'Gov Rev'!A492</f>
        <v>Octa</v>
      </c>
      <c r="AN492" s="15" t="str">
        <f t="shared" si="22"/>
        <v>Octa</v>
      </c>
      <c r="AO492" s="15" t="b">
        <f t="shared" si="23"/>
        <v>1</v>
      </c>
    </row>
    <row r="493" spans="1:41" ht="12" customHeight="1" x14ac:dyDescent="0.2">
      <c r="A493" s="15" t="s">
        <v>573</v>
      </c>
      <c r="C493" s="15" t="s">
        <v>572</v>
      </c>
      <c r="E493" s="24">
        <v>79242</v>
      </c>
      <c r="G493" s="24">
        <v>4525</v>
      </c>
      <c r="I493" s="24">
        <v>3247</v>
      </c>
      <c r="K493" s="24">
        <v>0</v>
      </c>
      <c r="M493" s="24">
        <v>3828</v>
      </c>
      <c r="O493" s="24">
        <v>44998</v>
      </c>
      <c r="Q493" s="24">
        <v>109755</v>
      </c>
      <c r="S493" s="24">
        <v>227157</v>
      </c>
      <c r="U493" s="24">
        <v>19000</v>
      </c>
      <c r="W493" s="24">
        <v>0</v>
      </c>
      <c r="Y493" s="24">
        <v>51130</v>
      </c>
      <c r="AA493" s="24">
        <v>0</v>
      </c>
      <c r="AC493" s="24">
        <v>0</v>
      </c>
      <c r="AE493" s="24">
        <f t="shared" si="21"/>
        <v>542882</v>
      </c>
      <c r="AF493" s="24"/>
      <c r="AG493" s="24">
        <v>-44011</v>
      </c>
      <c r="AH493" s="24"/>
      <c r="AI493" s="24">
        <v>248987</v>
      </c>
      <c r="AJ493" s="24"/>
      <c r="AK493" s="24">
        <v>204976</v>
      </c>
      <c r="AL493" s="24">
        <f>+'Gov Rev'!AI493-'Gov Exp'!AE493+'Gov Exp'!AI493-'Gov Exp'!AK493</f>
        <v>0</v>
      </c>
      <c r="AM493" s="15" t="str">
        <f>'Gov Rev'!A493</f>
        <v xml:space="preserve">Ohio City </v>
      </c>
      <c r="AN493" s="15" t="str">
        <f t="shared" si="22"/>
        <v xml:space="preserve">Ohio City </v>
      </c>
      <c r="AO493" s="15" t="b">
        <f t="shared" si="23"/>
        <v>1</v>
      </c>
    </row>
    <row r="494" spans="1:41" ht="12" customHeight="1" x14ac:dyDescent="0.2">
      <c r="A494" s="1" t="s">
        <v>951</v>
      </c>
      <c r="B494" s="1"/>
      <c r="C494" s="1" t="s">
        <v>375</v>
      </c>
      <c r="E494" s="24">
        <v>16483.509999999998</v>
      </c>
      <c r="G494" s="24">
        <v>9642.57</v>
      </c>
      <c r="I494" s="24">
        <v>3546.81</v>
      </c>
      <c r="K494" s="24">
        <v>158.62</v>
      </c>
      <c r="M494" s="24">
        <v>531.89</v>
      </c>
      <c r="O494" s="24">
        <v>34171.379999999997</v>
      </c>
      <c r="Q494" s="24">
        <v>25440.34</v>
      </c>
      <c r="S494" s="24">
        <v>0</v>
      </c>
      <c r="U494" s="24">
        <v>0</v>
      </c>
      <c r="W494" s="24">
        <v>0</v>
      </c>
      <c r="Y494" s="24">
        <v>0</v>
      </c>
      <c r="AA494" s="24">
        <v>0</v>
      </c>
      <c r="AC494" s="24">
        <v>0</v>
      </c>
      <c r="AE494" s="24">
        <f t="shared" si="21"/>
        <v>89975.12</v>
      </c>
      <c r="AF494" s="24"/>
      <c r="AG494" s="24">
        <v>-17005.060000000001</v>
      </c>
      <c r="AH494" s="24"/>
      <c r="AI494" s="24">
        <v>115689.11</v>
      </c>
      <c r="AJ494" s="24"/>
      <c r="AK494" s="24">
        <v>98684.05</v>
      </c>
      <c r="AL494" s="24">
        <f>+'Gov Rev'!AI494-'Gov Exp'!AE494+'Gov Exp'!AI494-'Gov Exp'!AK494</f>
        <v>0</v>
      </c>
      <c r="AM494" s="15" t="str">
        <f>'Gov Rev'!A494</f>
        <v>Old Washington</v>
      </c>
      <c r="AN494" s="15" t="str">
        <f t="shared" si="22"/>
        <v>Old Washington</v>
      </c>
      <c r="AO494" s="15" t="b">
        <f t="shared" si="23"/>
        <v>1</v>
      </c>
    </row>
    <row r="495" spans="1:41" s="31" customFormat="1" ht="12" customHeight="1" x14ac:dyDescent="0.2">
      <c r="A495" s="15" t="s">
        <v>905</v>
      </c>
      <c r="B495" s="15"/>
      <c r="C495" s="15" t="s">
        <v>316</v>
      </c>
      <c r="D495" s="15"/>
      <c r="E495" s="24">
        <v>2770461</v>
      </c>
      <c r="F495" s="24"/>
      <c r="G495" s="24">
        <v>0</v>
      </c>
      <c r="H495" s="24"/>
      <c r="I495" s="24">
        <v>3615</v>
      </c>
      <c r="J495" s="24"/>
      <c r="K495" s="24">
        <v>195948</v>
      </c>
      <c r="L495" s="24"/>
      <c r="M495" s="24">
        <v>177484</v>
      </c>
      <c r="N495" s="24"/>
      <c r="O495" s="24">
        <v>706408</v>
      </c>
      <c r="P495" s="24"/>
      <c r="Q495" s="24">
        <v>1600676</v>
      </c>
      <c r="R495" s="24"/>
      <c r="S495" s="24">
        <v>494896</v>
      </c>
      <c r="T495" s="24"/>
      <c r="U495" s="24">
        <v>535921</v>
      </c>
      <c r="V495" s="24"/>
      <c r="W495" s="24">
        <v>321013</v>
      </c>
      <c r="X495" s="24"/>
      <c r="Y495" s="24">
        <v>1128886</v>
      </c>
      <c r="Z495" s="24"/>
      <c r="AA495" s="24">
        <v>0</v>
      </c>
      <c r="AB495" s="24"/>
      <c r="AC495" s="24">
        <v>0</v>
      </c>
      <c r="AD495" s="24"/>
      <c r="AE495" s="24">
        <f t="shared" si="21"/>
        <v>7935308</v>
      </c>
      <c r="AF495" s="24"/>
      <c r="AG495" s="24">
        <v>355893</v>
      </c>
      <c r="AH495" s="24"/>
      <c r="AI495" s="24">
        <v>4094262</v>
      </c>
      <c r="AJ495" s="24"/>
      <c r="AK495" s="24">
        <v>4450155</v>
      </c>
      <c r="AL495" s="24">
        <f>+'Gov Rev'!AI495-'Gov Exp'!AE495+'Gov Exp'!AI495-'Gov Exp'!AK495</f>
        <v>0</v>
      </c>
      <c r="AM495" s="15" t="str">
        <f>'Gov Rev'!A495</f>
        <v xml:space="preserve">Orange </v>
      </c>
      <c r="AN495" s="15" t="str">
        <f t="shared" si="22"/>
        <v xml:space="preserve">Orange </v>
      </c>
      <c r="AO495" s="15" t="b">
        <f t="shared" si="23"/>
        <v>1</v>
      </c>
    </row>
    <row r="496" spans="1:41" s="31" customFormat="1" ht="12" customHeight="1" x14ac:dyDescent="0.2">
      <c r="A496" s="1" t="s">
        <v>229</v>
      </c>
      <c r="B496" s="1"/>
      <c r="C496" s="1" t="s">
        <v>805</v>
      </c>
      <c r="D496" s="15"/>
      <c r="E496" s="24">
        <v>24199.599999999999</v>
      </c>
      <c r="F496" s="24"/>
      <c r="G496" s="24">
        <v>0</v>
      </c>
      <c r="H496" s="24"/>
      <c r="I496" s="24">
        <v>0</v>
      </c>
      <c r="J496" s="24"/>
      <c r="K496" s="24">
        <v>0</v>
      </c>
      <c r="L496" s="24"/>
      <c r="M496" s="24">
        <v>0</v>
      </c>
      <c r="N496" s="24"/>
      <c r="O496" s="24">
        <v>6386.18</v>
      </c>
      <c r="P496" s="24"/>
      <c r="Q496" s="24">
        <v>15128.09</v>
      </c>
      <c r="R496" s="24"/>
      <c r="S496" s="24">
        <v>28301.17</v>
      </c>
      <c r="T496" s="24"/>
      <c r="U496" s="24">
        <v>0</v>
      </c>
      <c r="V496" s="24"/>
      <c r="W496" s="24">
        <v>0</v>
      </c>
      <c r="X496" s="24"/>
      <c r="Y496" s="24">
        <v>0</v>
      </c>
      <c r="Z496" s="24"/>
      <c r="AA496" s="24">
        <v>0</v>
      </c>
      <c r="AB496" s="24"/>
      <c r="AC496" s="24">
        <v>0</v>
      </c>
      <c r="AD496" s="24"/>
      <c r="AE496" s="24">
        <f t="shared" si="21"/>
        <v>74015.039999999994</v>
      </c>
      <c r="AF496" s="24"/>
      <c r="AG496" s="24">
        <v>-4235.62</v>
      </c>
      <c r="AH496" s="24"/>
      <c r="AI496" s="24">
        <v>61921.440000000002</v>
      </c>
      <c r="AJ496" s="24"/>
      <c r="AK496" s="24">
        <v>57685.82</v>
      </c>
      <c r="AL496" s="24">
        <f>+'Gov Rev'!AI496-'Gov Exp'!AE496+'Gov Exp'!AI496-'Gov Exp'!AK496</f>
        <v>0</v>
      </c>
      <c r="AM496" s="15" t="str">
        <f>'Gov Rev'!A496</f>
        <v>Orangeville</v>
      </c>
      <c r="AN496" s="15" t="str">
        <f t="shared" si="22"/>
        <v>Orangeville</v>
      </c>
      <c r="AO496" s="15" t="b">
        <f t="shared" si="23"/>
        <v>1</v>
      </c>
    </row>
    <row r="497" spans="1:41" s="37" customFormat="1" ht="12" customHeight="1" x14ac:dyDescent="0.2">
      <c r="A497" s="1" t="s">
        <v>190</v>
      </c>
      <c r="B497" s="1"/>
      <c r="C497" s="1" t="s">
        <v>793</v>
      </c>
      <c r="D497" s="31"/>
      <c r="E497" s="24">
        <v>1875</v>
      </c>
      <c r="F497" s="24"/>
      <c r="G497" s="24">
        <v>415.22</v>
      </c>
      <c r="H497" s="24"/>
      <c r="I497" s="24">
        <v>0</v>
      </c>
      <c r="J497" s="24"/>
      <c r="K497" s="24">
        <v>0</v>
      </c>
      <c r="L497" s="24"/>
      <c r="M497" s="24">
        <v>0</v>
      </c>
      <c r="N497" s="24"/>
      <c r="O497" s="24">
        <v>54545.38</v>
      </c>
      <c r="P497" s="24"/>
      <c r="Q497" s="24">
        <v>28444.67</v>
      </c>
      <c r="R497" s="24"/>
      <c r="S497" s="24">
        <v>0</v>
      </c>
      <c r="T497" s="24"/>
      <c r="U497" s="24">
        <v>0</v>
      </c>
      <c r="V497" s="24"/>
      <c r="W497" s="24">
        <v>0</v>
      </c>
      <c r="X497" s="24"/>
      <c r="Y497" s="24">
        <v>0</v>
      </c>
      <c r="Z497" s="24"/>
      <c r="AA497" s="24">
        <v>3348.78</v>
      </c>
      <c r="AB497" s="24"/>
      <c r="AC497" s="24">
        <v>2.42</v>
      </c>
      <c r="AD497" s="24"/>
      <c r="AE497" s="24">
        <f t="shared" si="21"/>
        <v>88631.469999999987</v>
      </c>
      <c r="AF497" s="24"/>
      <c r="AG497" s="24">
        <v>-44202.92</v>
      </c>
      <c r="AH497" s="24"/>
      <c r="AI497" s="24">
        <v>97400.58</v>
      </c>
      <c r="AJ497" s="24"/>
      <c r="AK497" s="24">
        <v>53197.66</v>
      </c>
      <c r="AL497" s="24">
        <f>+'Gov Rev'!AI497-'Gov Exp'!AE497+'Gov Exp'!AI497-'Gov Exp'!AK497</f>
        <v>0</v>
      </c>
      <c r="AM497" s="15" t="str">
        <f>'Gov Rev'!A497</f>
        <v>Orient</v>
      </c>
      <c r="AN497" s="15" t="str">
        <f t="shared" si="22"/>
        <v>Orient</v>
      </c>
      <c r="AO497" s="15" t="b">
        <f t="shared" si="23"/>
        <v>1</v>
      </c>
    </row>
    <row r="498" spans="1:41" ht="12" customHeight="1" x14ac:dyDescent="0.2">
      <c r="A498" s="15" t="s">
        <v>675</v>
      </c>
      <c r="C498" s="15" t="s">
        <v>671</v>
      </c>
      <c r="D498" s="28"/>
      <c r="E498" s="24">
        <v>824461</v>
      </c>
      <c r="G498" s="24">
        <v>27282</v>
      </c>
      <c r="I498" s="24">
        <v>6343</v>
      </c>
      <c r="K498" s="24">
        <v>6591</v>
      </c>
      <c r="M498" s="24">
        <v>22269</v>
      </c>
      <c r="O498" s="24">
        <v>146068</v>
      </c>
      <c r="Q498" s="24">
        <v>970839</v>
      </c>
      <c r="S498" s="24">
        <v>71462</v>
      </c>
      <c r="U498" s="24">
        <v>0</v>
      </c>
      <c r="W498" s="24">
        <v>0</v>
      </c>
      <c r="Y498" s="24">
        <v>0</v>
      </c>
      <c r="AA498" s="24">
        <v>0</v>
      </c>
      <c r="AC498" s="24">
        <v>64620</v>
      </c>
      <c r="AE498" s="24">
        <f t="shared" si="21"/>
        <v>2139935</v>
      </c>
      <c r="AF498" s="24"/>
      <c r="AG498" s="24">
        <v>-64031</v>
      </c>
      <c r="AH498" s="24"/>
      <c r="AI498" s="24">
        <f>AK498-AG498</f>
        <v>1837519</v>
      </c>
      <c r="AJ498" s="24"/>
      <c r="AK498" s="24">
        <v>1773488</v>
      </c>
      <c r="AL498" s="24">
        <f>+'Gov Rev'!AI498-'Gov Exp'!AE498+'Gov Exp'!AI498-'Gov Exp'!AK498</f>
        <v>0</v>
      </c>
      <c r="AM498" s="15" t="str">
        <f>'Gov Rev'!A498</f>
        <v>Orwell</v>
      </c>
      <c r="AN498" s="15" t="str">
        <f t="shared" si="22"/>
        <v>Orwell</v>
      </c>
      <c r="AO498" s="15" t="b">
        <f t="shared" si="23"/>
        <v>1</v>
      </c>
    </row>
    <row r="499" spans="1:41" ht="12" customHeight="1" x14ac:dyDescent="0.2">
      <c r="A499" s="15" t="s">
        <v>335</v>
      </c>
      <c r="C499" s="15" t="s">
        <v>329</v>
      </c>
      <c r="E499" s="24">
        <v>8265</v>
      </c>
      <c r="G499" s="24">
        <v>1897</v>
      </c>
      <c r="I499" s="24">
        <v>1073</v>
      </c>
      <c r="K499" s="24">
        <v>0</v>
      </c>
      <c r="M499" s="24">
        <v>0</v>
      </c>
      <c r="O499" s="24">
        <f>6195+4925</f>
        <v>11120</v>
      </c>
      <c r="Q499" s="24">
        <v>41347</v>
      </c>
      <c r="S499" s="24">
        <v>109204</v>
      </c>
      <c r="U499" s="24">
        <f>54249+101532</f>
        <v>155781</v>
      </c>
      <c r="W499" s="24">
        <v>0</v>
      </c>
      <c r="Y499" s="24">
        <f>135781+20000+1666</f>
        <v>157447</v>
      </c>
      <c r="AA499" s="24">
        <v>0</v>
      </c>
      <c r="AC499" s="24">
        <v>0</v>
      </c>
      <c r="AE499" s="24">
        <f t="shared" si="21"/>
        <v>486134</v>
      </c>
      <c r="AF499" s="24"/>
      <c r="AG499" s="24">
        <f>-37863-2225-15877</f>
        <v>-55965</v>
      </c>
      <c r="AH499" s="24"/>
      <c r="AI499" s="24">
        <f>404927+12629+15877</f>
        <v>433433</v>
      </c>
      <c r="AJ499" s="24"/>
      <c r="AK499" s="24">
        <f>367064+10404</f>
        <v>377468</v>
      </c>
      <c r="AL499" s="24">
        <f>+'Gov Rev'!AI499-'Gov Exp'!AE499+'Gov Exp'!AI499-'Gov Exp'!AK499</f>
        <v>0</v>
      </c>
      <c r="AM499" s="15" t="str">
        <f>'Gov Rev'!A499</f>
        <v>Osgood</v>
      </c>
      <c r="AN499" s="15" t="str">
        <f t="shared" si="22"/>
        <v>Osgood</v>
      </c>
      <c r="AO499" s="15" t="b">
        <f t="shared" si="23"/>
        <v>1</v>
      </c>
    </row>
    <row r="500" spans="1:41" ht="12" customHeight="1" x14ac:dyDescent="0.2">
      <c r="A500" s="15" t="s">
        <v>344</v>
      </c>
      <c r="C500" s="15" t="s">
        <v>343</v>
      </c>
      <c r="E500" s="24">
        <v>13031</v>
      </c>
      <c r="G500" s="24">
        <v>660</v>
      </c>
      <c r="I500" s="24">
        <v>0</v>
      </c>
      <c r="K500" s="24">
        <v>4107</v>
      </c>
      <c r="M500" s="24">
        <v>0</v>
      </c>
      <c r="O500" s="24">
        <v>107898</v>
      </c>
      <c r="Q500" s="24">
        <v>24414</v>
      </c>
      <c r="S500" s="24">
        <v>0</v>
      </c>
      <c r="U500" s="24">
        <v>0</v>
      </c>
      <c r="W500" s="24">
        <v>0</v>
      </c>
      <c r="Y500" s="24">
        <v>0</v>
      </c>
      <c r="AA500" s="24">
        <v>0</v>
      </c>
      <c r="AC500" s="24">
        <v>0</v>
      </c>
      <c r="AE500" s="24">
        <f t="shared" si="21"/>
        <v>150110</v>
      </c>
      <c r="AF500" s="24"/>
      <c r="AG500" s="24">
        <v>38943</v>
      </c>
      <c r="AH500" s="24"/>
      <c r="AI500" s="24">
        <v>43549</v>
      </c>
      <c r="AJ500" s="24"/>
      <c r="AK500" s="24">
        <v>82491</v>
      </c>
      <c r="AL500" s="24">
        <f>+'Gov Rev'!AI500-'Gov Exp'!AE500+'Gov Exp'!AI500-'Gov Exp'!AK500</f>
        <v>0</v>
      </c>
      <c r="AM500" s="15" t="str">
        <f>'Gov Rev'!A500</f>
        <v>Ostrander</v>
      </c>
      <c r="AN500" s="15" t="str">
        <f t="shared" si="22"/>
        <v>Ostrander</v>
      </c>
      <c r="AO500" s="15" t="b">
        <f t="shared" si="23"/>
        <v>1</v>
      </c>
    </row>
    <row r="501" spans="1:41" ht="12" customHeight="1" x14ac:dyDescent="0.2">
      <c r="A501" s="1"/>
      <c r="B501" s="1"/>
      <c r="C501" s="1"/>
      <c r="AE501" s="24"/>
      <c r="AF501" s="24"/>
      <c r="AG501" s="24"/>
      <c r="AH501" s="24"/>
      <c r="AI501" s="24"/>
      <c r="AJ501" s="24"/>
      <c r="AK501" s="24"/>
      <c r="AL501" s="24"/>
    </row>
    <row r="502" spans="1:41" ht="12" customHeight="1" x14ac:dyDescent="0.2">
      <c r="A502" s="1"/>
      <c r="B502" s="1"/>
      <c r="C502" s="1"/>
      <c r="AE502" s="77" t="s">
        <v>850</v>
      </c>
      <c r="AF502" s="24"/>
      <c r="AG502" s="24"/>
      <c r="AH502" s="24"/>
      <c r="AI502" s="24"/>
      <c r="AJ502" s="24"/>
      <c r="AK502" s="24"/>
      <c r="AL502" s="24"/>
    </row>
    <row r="503" spans="1:41" ht="12" customHeight="1" x14ac:dyDescent="0.2">
      <c r="A503" s="1"/>
      <c r="B503" s="1"/>
      <c r="C503" s="1"/>
      <c r="AE503" s="24"/>
      <c r="AF503" s="24"/>
      <c r="AG503" s="24"/>
      <c r="AH503" s="24"/>
      <c r="AI503" s="24"/>
      <c r="AJ503" s="24"/>
      <c r="AK503" s="24"/>
      <c r="AL503" s="24"/>
    </row>
    <row r="504" spans="1:41" ht="12" customHeight="1" x14ac:dyDescent="0.2">
      <c r="A504" s="1" t="s">
        <v>207</v>
      </c>
      <c r="B504" s="1"/>
      <c r="C504" s="1" t="s">
        <v>797</v>
      </c>
      <c r="D504" s="31"/>
      <c r="E504" s="91">
        <v>679472.36</v>
      </c>
      <c r="F504" s="91"/>
      <c r="G504" s="91">
        <v>0</v>
      </c>
      <c r="H504" s="91"/>
      <c r="I504" s="91">
        <v>82871.27</v>
      </c>
      <c r="J504" s="91"/>
      <c r="K504" s="91">
        <v>74126.22</v>
      </c>
      <c r="L504" s="91"/>
      <c r="M504" s="91">
        <v>13721.5</v>
      </c>
      <c r="N504" s="91"/>
      <c r="O504" s="91">
        <v>191884.03</v>
      </c>
      <c r="P504" s="91"/>
      <c r="Q504" s="91">
        <v>484512.92</v>
      </c>
      <c r="R504" s="91"/>
      <c r="S504" s="91">
        <v>4062012.96</v>
      </c>
      <c r="T504" s="91"/>
      <c r="U504" s="91">
        <v>287746.99</v>
      </c>
      <c r="V504" s="91"/>
      <c r="W504" s="91">
        <v>209513.19</v>
      </c>
      <c r="X504" s="91"/>
      <c r="Y504" s="91">
        <v>0</v>
      </c>
      <c r="Z504" s="91"/>
      <c r="AA504" s="91">
        <v>612625.19999999995</v>
      </c>
      <c r="AB504" s="91"/>
      <c r="AC504" s="91">
        <v>0</v>
      </c>
      <c r="AD504" s="91"/>
      <c r="AE504" s="91">
        <f t="shared" si="21"/>
        <v>6698486.6400000006</v>
      </c>
      <c r="AF504" s="24"/>
      <c r="AG504" s="24">
        <v>-1491706.12</v>
      </c>
      <c r="AH504" s="24"/>
      <c r="AI504" s="24">
        <v>6424188.7199999997</v>
      </c>
      <c r="AJ504" s="24"/>
      <c r="AK504" s="24">
        <v>4932482.5999999996</v>
      </c>
      <c r="AL504" s="24">
        <f>+'Gov Rev'!AI501-'Gov Exp'!AE504+'Gov Exp'!AI504-'Gov Exp'!AK504</f>
        <v>0</v>
      </c>
      <c r="AM504" s="15" t="str">
        <f>'Gov Rev'!A501</f>
        <v>Ottawa</v>
      </c>
      <c r="AN504" s="15" t="str">
        <f t="shared" si="22"/>
        <v>Ottawa</v>
      </c>
      <c r="AO504" s="15" t="b">
        <f t="shared" si="23"/>
        <v>1</v>
      </c>
    </row>
    <row r="505" spans="1:41" ht="12" customHeight="1" x14ac:dyDescent="0.2">
      <c r="A505" s="15" t="s">
        <v>456</v>
      </c>
      <c r="C505" s="15" t="s">
        <v>455</v>
      </c>
      <c r="E505" s="24">
        <v>2244825</v>
      </c>
      <c r="G505" s="24">
        <v>36929</v>
      </c>
      <c r="I505" s="24">
        <v>421289</v>
      </c>
      <c r="K505" s="24">
        <v>0</v>
      </c>
      <c r="M505" s="24">
        <v>484591</v>
      </c>
      <c r="O505" s="24">
        <v>492242</v>
      </c>
      <c r="Q505" s="24">
        <v>804792</v>
      </c>
      <c r="S505" s="24">
        <v>1197962</v>
      </c>
      <c r="U505" s="24">
        <v>4263802</v>
      </c>
      <c r="W505" s="24">
        <v>168000</v>
      </c>
      <c r="Y505" s="24">
        <v>5283356</v>
      </c>
      <c r="AA505" s="24">
        <v>0</v>
      </c>
      <c r="AC505" s="24">
        <v>0</v>
      </c>
      <c r="AE505" s="24">
        <f t="shared" si="21"/>
        <v>15397788</v>
      </c>
      <c r="AF505" s="24"/>
      <c r="AG505" s="24">
        <v>-3814109</v>
      </c>
      <c r="AH505" s="24"/>
      <c r="AI505" s="24">
        <v>12679620</v>
      </c>
      <c r="AJ505" s="24"/>
      <c r="AK505" s="24">
        <v>8865511</v>
      </c>
      <c r="AL505" s="24">
        <f>+'Gov Rev'!AI502-'Gov Exp'!AE505+'Gov Exp'!AI505-'Gov Exp'!AK505</f>
        <v>0</v>
      </c>
      <c r="AM505" s="15" t="str">
        <f>'Gov Rev'!A502</f>
        <v>Ottawa Hills</v>
      </c>
      <c r="AN505" s="15" t="str">
        <f t="shared" si="22"/>
        <v>Ottawa Hills</v>
      </c>
      <c r="AO505" s="15" t="b">
        <f t="shared" si="23"/>
        <v>1</v>
      </c>
    </row>
    <row r="506" spans="1:41" ht="12" customHeight="1" x14ac:dyDescent="0.2">
      <c r="A506" s="1" t="s">
        <v>516</v>
      </c>
      <c r="B506" s="1"/>
      <c r="C506" s="1" t="s">
        <v>513</v>
      </c>
      <c r="D506" s="31"/>
      <c r="E506" s="24">
        <v>186955.64</v>
      </c>
      <c r="G506" s="24">
        <v>0</v>
      </c>
      <c r="I506" s="24">
        <v>28093.88</v>
      </c>
      <c r="K506" s="24">
        <v>0</v>
      </c>
      <c r="M506" s="24">
        <v>0</v>
      </c>
      <c r="O506" s="24">
        <v>249308.28</v>
      </c>
      <c r="Q506" s="24">
        <v>104968.43</v>
      </c>
      <c r="S506" s="24">
        <v>76758.19</v>
      </c>
      <c r="U506" s="24">
        <v>27861.59</v>
      </c>
      <c r="W506" s="24">
        <v>1332.65</v>
      </c>
      <c r="Y506" s="24">
        <v>131400</v>
      </c>
      <c r="AA506" s="24">
        <v>0</v>
      </c>
      <c r="AC506" s="24">
        <v>0</v>
      </c>
      <c r="AE506" s="24">
        <f t="shared" si="21"/>
        <v>806678.65999999992</v>
      </c>
      <c r="AF506" s="24"/>
      <c r="AG506" s="24">
        <v>253694.73</v>
      </c>
      <c r="AH506" s="24"/>
      <c r="AI506" s="24">
        <v>310665.45</v>
      </c>
      <c r="AJ506" s="24"/>
      <c r="AK506" s="24">
        <v>564360.18000000005</v>
      </c>
      <c r="AL506" s="24">
        <f>+'Gov Rev'!AI503-'Gov Exp'!AE506+'Gov Exp'!AI506-'Gov Exp'!AK506</f>
        <v>0</v>
      </c>
      <c r="AM506" s="15" t="str">
        <f>'Gov Rev'!A503</f>
        <v>Ottoville</v>
      </c>
      <c r="AN506" s="15" t="str">
        <f t="shared" si="22"/>
        <v>Ottoville</v>
      </c>
      <c r="AO506" s="15" t="b">
        <f t="shared" si="23"/>
        <v>1</v>
      </c>
    </row>
    <row r="507" spans="1:41" ht="12" customHeight="1" x14ac:dyDescent="0.2">
      <c r="A507" s="1" t="s">
        <v>216</v>
      </c>
      <c r="B507" s="1"/>
      <c r="C507" s="1" t="s">
        <v>801</v>
      </c>
      <c r="D507" s="31"/>
      <c r="E507" s="24">
        <v>16356.93</v>
      </c>
      <c r="G507" s="24">
        <v>0</v>
      </c>
      <c r="I507" s="24">
        <v>0</v>
      </c>
      <c r="K507" s="24">
        <v>108848.42</v>
      </c>
      <c r="M507" s="24">
        <v>17406.55</v>
      </c>
      <c r="O507" s="24">
        <v>2163.81</v>
      </c>
      <c r="Q507" s="24">
        <v>14111.56</v>
      </c>
      <c r="S507" s="24">
        <v>0</v>
      </c>
      <c r="U507" s="24">
        <v>0</v>
      </c>
      <c r="W507" s="24">
        <v>0</v>
      </c>
      <c r="Y507" s="24">
        <v>0</v>
      </c>
      <c r="AA507" s="24">
        <v>0</v>
      </c>
      <c r="AC507" s="24">
        <v>74839.740000000005</v>
      </c>
      <c r="AE507" s="24">
        <f t="shared" si="21"/>
        <v>233727.01</v>
      </c>
      <c r="AF507" s="24"/>
      <c r="AG507" s="24">
        <v>97687.45</v>
      </c>
      <c r="AH507" s="24"/>
      <c r="AI507" s="24">
        <v>11768.63</v>
      </c>
      <c r="AJ507" s="24"/>
      <c r="AK507" s="24">
        <v>109456.08</v>
      </c>
      <c r="AL507" s="24">
        <f>+'Gov Rev'!AI504-'Gov Exp'!AE507+'Gov Exp'!AI507-'Gov Exp'!AK507</f>
        <v>0</v>
      </c>
      <c r="AM507" s="15" t="str">
        <f>'Gov Rev'!A504</f>
        <v>Otway</v>
      </c>
      <c r="AN507" s="15" t="str">
        <f t="shared" si="22"/>
        <v>Otway</v>
      </c>
      <c r="AO507" s="15" t="b">
        <f t="shared" si="23"/>
        <v>1</v>
      </c>
    </row>
    <row r="508" spans="1:41" ht="12" customHeight="1" x14ac:dyDescent="0.2">
      <c r="A508" s="1" t="s">
        <v>39</v>
      </c>
      <c r="B508" s="1"/>
      <c r="C508" s="1" t="s">
        <v>747</v>
      </c>
      <c r="D508" s="31"/>
      <c r="E508" s="24">
        <v>306200.78000000003</v>
      </c>
      <c r="G508" s="24">
        <v>2384.75</v>
      </c>
      <c r="I508" s="24">
        <v>17245.21</v>
      </c>
      <c r="K508" s="24">
        <v>0</v>
      </c>
      <c r="M508" s="24">
        <v>0</v>
      </c>
      <c r="O508" s="24">
        <v>18633.830000000002</v>
      </c>
      <c r="Q508" s="24">
        <v>182350.25</v>
      </c>
      <c r="S508" s="24">
        <v>0</v>
      </c>
      <c r="U508" s="24">
        <v>0</v>
      </c>
      <c r="W508" s="24">
        <v>0</v>
      </c>
      <c r="Y508" s="24">
        <v>0</v>
      </c>
      <c r="AA508" s="24">
        <v>0</v>
      </c>
      <c r="AC508" s="24">
        <v>0</v>
      </c>
      <c r="AE508" s="24">
        <f t="shared" si="21"/>
        <v>526814.82000000007</v>
      </c>
      <c r="AF508" s="24"/>
      <c r="AG508" s="24">
        <v>-60939.77</v>
      </c>
      <c r="AH508" s="24"/>
      <c r="AI508" s="24">
        <v>599158.52</v>
      </c>
      <c r="AJ508" s="24"/>
      <c r="AK508" s="24">
        <v>538218.75</v>
      </c>
      <c r="AL508" s="24">
        <f>+'Gov Rev'!AI505-'Gov Exp'!AE508+'Gov Exp'!AI508-'Gov Exp'!AK508</f>
        <v>0</v>
      </c>
      <c r="AM508" s="15" t="str">
        <f>'Gov Rev'!A505</f>
        <v>Owensville</v>
      </c>
      <c r="AN508" s="15" t="str">
        <f t="shared" si="22"/>
        <v>Owensville</v>
      </c>
      <c r="AO508" s="15" t="b">
        <f t="shared" si="23"/>
        <v>1</v>
      </c>
    </row>
    <row r="509" spans="1:41" s="31" customFormat="1" ht="12" hidden="1" customHeight="1" x14ac:dyDescent="0.2">
      <c r="A509" s="1" t="s">
        <v>892</v>
      </c>
      <c r="B509" s="1"/>
      <c r="C509" s="1" t="s">
        <v>329</v>
      </c>
      <c r="D509" s="15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>
        <f t="shared" si="21"/>
        <v>0</v>
      </c>
      <c r="AF509" s="24"/>
      <c r="AG509" s="24"/>
      <c r="AH509" s="24"/>
      <c r="AI509" s="24"/>
      <c r="AJ509" s="24"/>
      <c r="AK509" s="24"/>
      <c r="AL509" s="24">
        <f>+'Gov Rev'!AI506-'Gov Exp'!AE509+'Gov Exp'!AI509-'Gov Exp'!AK509</f>
        <v>0</v>
      </c>
      <c r="AM509" s="15" t="str">
        <f>'Gov Rev'!A506</f>
        <v>Palestine</v>
      </c>
      <c r="AN509" s="15" t="str">
        <f t="shared" si="22"/>
        <v>Palestine</v>
      </c>
      <c r="AO509" s="15" t="b">
        <f t="shared" si="23"/>
        <v>1</v>
      </c>
    </row>
    <row r="510" spans="1:41" ht="12" customHeight="1" x14ac:dyDescent="0.2">
      <c r="A510" s="15" t="s">
        <v>517</v>
      </c>
      <c r="C510" s="15" t="s">
        <v>513</v>
      </c>
      <c r="E510" s="24">
        <v>166866</v>
      </c>
      <c r="G510" s="24">
        <v>6336</v>
      </c>
      <c r="I510" s="24">
        <v>8313</v>
      </c>
      <c r="K510" s="24">
        <v>0</v>
      </c>
      <c r="M510" s="24">
        <v>16022</v>
      </c>
      <c r="O510" s="24">
        <v>85044</v>
      </c>
      <c r="Q510" s="24">
        <v>263130</v>
      </c>
      <c r="S510" s="24">
        <v>77240</v>
      </c>
      <c r="U510" s="24">
        <v>16132</v>
      </c>
      <c r="W510" s="24">
        <v>1770</v>
      </c>
      <c r="Y510" s="24">
        <v>10000</v>
      </c>
      <c r="AA510" s="24">
        <v>40000</v>
      </c>
      <c r="AC510" s="24">
        <v>0</v>
      </c>
      <c r="AE510" s="24">
        <f t="shared" si="21"/>
        <v>690853</v>
      </c>
      <c r="AF510" s="24"/>
      <c r="AG510" s="24">
        <v>2310</v>
      </c>
      <c r="AH510" s="24"/>
      <c r="AI510" s="24">
        <v>112284</v>
      </c>
      <c r="AJ510" s="24"/>
      <c r="AK510" s="24">
        <v>114594</v>
      </c>
      <c r="AL510" s="24">
        <f>+'Gov Rev'!AI507-'Gov Exp'!AE510+'Gov Exp'!AI510-'Gov Exp'!AK510</f>
        <v>0</v>
      </c>
      <c r="AM510" s="15" t="str">
        <f>'Gov Rev'!A507</f>
        <v>Pandora</v>
      </c>
      <c r="AN510" s="15" t="str">
        <f t="shared" si="22"/>
        <v>Pandora</v>
      </c>
      <c r="AO510" s="15" t="b">
        <f t="shared" si="23"/>
        <v>1</v>
      </c>
    </row>
    <row r="511" spans="1:41" ht="12" hidden="1" customHeight="1" x14ac:dyDescent="0.2">
      <c r="A511" s="1" t="s">
        <v>565</v>
      </c>
      <c r="B511" s="1"/>
      <c r="C511" s="1" t="s">
        <v>560</v>
      </c>
      <c r="AE511" s="24">
        <f t="shared" si="21"/>
        <v>0</v>
      </c>
      <c r="AF511" s="24"/>
      <c r="AG511" s="24"/>
      <c r="AH511" s="24"/>
      <c r="AI511" s="24"/>
      <c r="AJ511" s="24"/>
      <c r="AK511" s="24"/>
      <c r="AL511" s="24">
        <f>+'Gov Rev'!AI508-'Gov Exp'!AE511+'Gov Exp'!AI511-'Gov Exp'!AK511</f>
        <v>0</v>
      </c>
      <c r="AM511" s="15" t="str">
        <f>'Gov Rev'!A508</f>
        <v>Parral</v>
      </c>
      <c r="AN511" s="15" t="str">
        <f t="shared" si="22"/>
        <v>Parral</v>
      </c>
      <c r="AO511" s="15" t="b">
        <f t="shared" si="23"/>
        <v>1</v>
      </c>
    </row>
    <row r="512" spans="1:41" ht="12" customHeight="1" x14ac:dyDescent="0.2">
      <c r="A512" s="15" t="s">
        <v>400</v>
      </c>
      <c r="C512" s="15" t="s">
        <v>396</v>
      </c>
      <c r="E512" s="24">
        <v>1657</v>
      </c>
      <c r="G512" s="24">
        <v>342</v>
      </c>
      <c r="I512" s="24">
        <v>0</v>
      </c>
      <c r="K512" s="24">
        <v>0</v>
      </c>
      <c r="M512" s="24">
        <v>0</v>
      </c>
      <c r="O512" s="24">
        <v>0</v>
      </c>
      <c r="Q512" s="24">
        <v>3105</v>
      </c>
      <c r="S512" s="24">
        <v>0</v>
      </c>
      <c r="U512" s="24">
        <v>0</v>
      </c>
      <c r="W512" s="24">
        <v>0</v>
      </c>
      <c r="Y512" s="24">
        <v>0</v>
      </c>
      <c r="AA512" s="24">
        <v>0</v>
      </c>
      <c r="AC512" s="24">
        <v>0</v>
      </c>
      <c r="AE512" s="24">
        <f t="shared" si="21"/>
        <v>5104</v>
      </c>
      <c r="AF512" s="24"/>
      <c r="AG512" s="24">
        <f>1600-312</f>
        <v>1288</v>
      </c>
      <c r="AH512" s="24"/>
      <c r="AI512" s="24">
        <f>252+1506</f>
        <v>1758</v>
      </c>
      <c r="AJ512" s="24"/>
      <c r="AK512" s="24">
        <f>3106-60</f>
        <v>3046</v>
      </c>
      <c r="AL512" s="24">
        <f>+'Gov Rev'!AI509-'Gov Exp'!AE512+'Gov Exp'!AI512-'Gov Exp'!AK512</f>
        <v>0</v>
      </c>
      <c r="AM512" s="15" t="str">
        <f>'Gov Rev'!A509</f>
        <v>Patterson</v>
      </c>
      <c r="AN512" s="15" t="str">
        <f t="shared" si="22"/>
        <v>Patterson</v>
      </c>
      <c r="AO512" s="15" t="b">
        <f t="shared" si="23"/>
        <v>1</v>
      </c>
    </row>
    <row r="513" spans="1:41" ht="12" customHeight="1" x14ac:dyDescent="0.2">
      <c r="A513" s="15" t="s">
        <v>496</v>
      </c>
      <c r="C513" s="15" t="s">
        <v>496</v>
      </c>
      <c r="E513" s="24">
        <v>608566</v>
      </c>
      <c r="G513" s="24">
        <v>18762</v>
      </c>
      <c r="I513" s="24">
        <v>98936</v>
      </c>
      <c r="K513" s="24">
        <v>3704</v>
      </c>
      <c r="M513" s="24">
        <v>582358</v>
      </c>
      <c r="O513" s="24">
        <v>137851</v>
      </c>
      <c r="Q513" s="24">
        <v>278353</v>
      </c>
      <c r="S513" s="24">
        <v>6342163</v>
      </c>
      <c r="U513" s="24">
        <v>525000</v>
      </c>
      <c r="W513" s="24">
        <v>14393</v>
      </c>
      <c r="Y513" s="24">
        <v>417180</v>
      </c>
      <c r="AA513" s="24">
        <v>0</v>
      </c>
      <c r="AC513" s="24">
        <v>20</v>
      </c>
      <c r="AE513" s="24">
        <f t="shared" si="21"/>
        <v>9027286</v>
      </c>
      <c r="AF513" s="24"/>
      <c r="AG513" s="24">
        <v>-292983</v>
      </c>
      <c r="AH513" s="24"/>
      <c r="AI513" s="24">
        <v>2125562</v>
      </c>
      <c r="AJ513" s="24"/>
      <c r="AK513" s="24">
        <v>1832579</v>
      </c>
      <c r="AL513" s="24">
        <f>+'Gov Rev'!AI510-'Gov Exp'!AE513+'Gov Exp'!AI513-'Gov Exp'!AK513</f>
        <v>0</v>
      </c>
      <c r="AM513" s="15" t="str">
        <f>'Gov Rev'!A510</f>
        <v>Paulding</v>
      </c>
      <c r="AN513" s="15" t="str">
        <f t="shared" si="22"/>
        <v>Paulding</v>
      </c>
      <c r="AO513" s="15" t="b">
        <f t="shared" si="23"/>
        <v>1</v>
      </c>
    </row>
    <row r="514" spans="1:41" ht="12" customHeight="1" x14ac:dyDescent="0.2">
      <c r="A514" s="1" t="s">
        <v>498</v>
      </c>
      <c r="B514" s="1"/>
      <c r="C514" s="1" t="s">
        <v>496</v>
      </c>
      <c r="D514" s="31"/>
      <c r="E514" s="24">
        <v>292136.65999999997</v>
      </c>
      <c r="G514" s="24">
        <v>2666.61</v>
      </c>
      <c r="I514" s="24">
        <v>6936.02</v>
      </c>
      <c r="K514" s="24">
        <v>0</v>
      </c>
      <c r="M514" s="24">
        <v>0</v>
      </c>
      <c r="O514" s="24">
        <v>41077.56</v>
      </c>
      <c r="Q514" s="24">
        <v>121141.43</v>
      </c>
      <c r="S514" s="24">
        <v>252383.97</v>
      </c>
      <c r="U514" s="24">
        <v>0</v>
      </c>
      <c r="W514" s="24">
        <v>179.39</v>
      </c>
      <c r="Y514" s="24">
        <v>85000</v>
      </c>
      <c r="AA514" s="24">
        <v>0</v>
      </c>
      <c r="AC514" s="24">
        <v>10410</v>
      </c>
      <c r="AE514" s="24">
        <f t="shared" si="21"/>
        <v>811931.64</v>
      </c>
      <c r="AF514" s="24"/>
      <c r="AG514" s="24">
        <v>35854.92</v>
      </c>
      <c r="AH514" s="24"/>
      <c r="AI514" s="24">
        <v>418264.88</v>
      </c>
      <c r="AJ514" s="24"/>
      <c r="AK514" s="24">
        <v>454119.8</v>
      </c>
      <c r="AL514" s="24">
        <f>+'Gov Rev'!AI511-'Gov Exp'!AE514+'Gov Exp'!AI514-'Gov Exp'!AK514</f>
        <v>0</v>
      </c>
      <c r="AM514" s="15" t="str">
        <f>'Gov Rev'!A511</f>
        <v>Payne</v>
      </c>
      <c r="AN514" s="15" t="str">
        <f t="shared" si="22"/>
        <v>Payne</v>
      </c>
      <c r="AO514" s="15" t="b">
        <f t="shared" si="23"/>
        <v>1</v>
      </c>
    </row>
    <row r="515" spans="1:41" ht="12" customHeight="1" x14ac:dyDescent="0.2">
      <c r="A515" s="1" t="s">
        <v>676</v>
      </c>
      <c r="B515" s="1"/>
      <c r="C515" s="1" t="s">
        <v>659</v>
      </c>
      <c r="E515" s="24">
        <v>278958.26</v>
      </c>
      <c r="G515" s="24">
        <v>0</v>
      </c>
      <c r="I515" s="24">
        <v>0</v>
      </c>
      <c r="K515" s="24">
        <v>0</v>
      </c>
      <c r="M515" s="24">
        <v>2492.5</v>
      </c>
      <c r="O515" s="24">
        <v>88290.57</v>
      </c>
      <c r="Q515" s="24">
        <v>145468.97</v>
      </c>
      <c r="S515" s="24">
        <v>0</v>
      </c>
      <c r="U515" s="24">
        <v>0</v>
      </c>
      <c r="W515" s="24">
        <v>0</v>
      </c>
      <c r="Y515" s="24">
        <v>0</v>
      </c>
      <c r="AA515" s="24">
        <v>0</v>
      </c>
      <c r="AC515" s="24">
        <v>0</v>
      </c>
      <c r="AE515" s="24">
        <f t="shared" si="21"/>
        <v>515210.30000000005</v>
      </c>
      <c r="AF515" s="24"/>
      <c r="AG515" s="24">
        <v>50427.77</v>
      </c>
      <c r="AH515" s="24"/>
      <c r="AI515" s="24">
        <v>237962.55</v>
      </c>
      <c r="AJ515" s="24"/>
      <c r="AK515" s="24">
        <v>288390.32</v>
      </c>
      <c r="AL515" s="24">
        <f>+'Gov Rev'!AI512-'Gov Exp'!AE515+'Gov Exp'!AI515-'Gov Exp'!AK515</f>
        <v>0</v>
      </c>
      <c r="AM515" s="15" t="str">
        <f>'Gov Rev'!A512</f>
        <v>Peebles</v>
      </c>
      <c r="AN515" s="15" t="str">
        <f t="shared" si="22"/>
        <v>Peebles</v>
      </c>
      <c r="AO515" s="15" t="b">
        <f t="shared" si="23"/>
        <v>1</v>
      </c>
    </row>
    <row r="516" spans="1:41" s="31" customFormat="1" ht="12" customHeight="1" x14ac:dyDescent="0.2">
      <c r="A516" s="1" t="s">
        <v>606</v>
      </c>
      <c r="B516" s="1"/>
      <c r="C516" s="1" t="s">
        <v>601</v>
      </c>
      <c r="E516" s="24">
        <v>142665.32</v>
      </c>
      <c r="F516" s="24"/>
      <c r="G516" s="24">
        <v>2779.98</v>
      </c>
      <c r="H516" s="24"/>
      <c r="I516" s="24">
        <v>2367.0500000000002</v>
      </c>
      <c r="J516" s="24"/>
      <c r="K516" s="24">
        <v>0</v>
      </c>
      <c r="L516" s="24"/>
      <c r="M516" s="24">
        <v>80.8</v>
      </c>
      <c r="N516" s="24"/>
      <c r="O516" s="24">
        <v>47571.59</v>
      </c>
      <c r="P516" s="24"/>
      <c r="Q516" s="24">
        <v>196597.64</v>
      </c>
      <c r="R516" s="24"/>
      <c r="S516" s="24">
        <v>49381.86</v>
      </c>
      <c r="T516" s="24"/>
      <c r="U516" s="24">
        <v>87245.7</v>
      </c>
      <c r="V516" s="24"/>
      <c r="W516" s="24">
        <v>20884.560000000001</v>
      </c>
      <c r="X516" s="24"/>
      <c r="Y516" s="24">
        <v>315000</v>
      </c>
      <c r="Z516" s="24"/>
      <c r="AA516" s="24">
        <v>0</v>
      </c>
      <c r="AB516" s="24"/>
      <c r="AC516" s="24">
        <v>4100.43</v>
      </c>
      <c r="AD516" s="24"/>
      <c r="AE516" s="24">
        <f t="shared" si="21"/>
        <v>868674.93</v>
      </c>
      <c r="AF516" s="24"/>
      <c r="AG516" s="24">
        <v>120960.47</v>
      </c>
      <c r="AH516" s="24"/>
      <c r="AI516" s="24">
        <v>1233981.1599999999</v>
      </c>
      <c r="AJ516" s="24"/>
      <c r="AK516" s="24">
        <v>1354941.63</v>
      </c>
      <c r="AL516" s="24">
        <f>+'Gov Rev'!AI513-'Gov Exp'!AE516+'Gov Exp'!AI516-'Gov Exp'!AK516</f>
        <v>0</v>
      </c>
      <c r="AM516" s="15" t="str">
        <f>'Gov Rev'!A513</f>
        <v>Pemberville</v>
      </c>
      <c r="AN516" s="15" t="str">
        <f t="shared" si="22"/>
        <v>Pemberville</v>
      </c>
      <c r="AO516" s="15" t="b">
        <f t="shared" si="23"/>
        <v>1</v>
      </c>
    </row>
    <row r="517" spans="1:41" s="29" customFormat="1" ht="12" customHeight="1" x14ac:dyDescent="0.2">
      <c r="A517" s="1" t="s">
        <v>552</v>
      </c>
      <c r="B517" s="1"/>
      <c r="C517" s="1" t="s">
        <v>549</v>
      </c>
      <c r="D517" s="31"/>
      <c r="E517" s="24">
        <v>465881.28</v>
      </c>
      <c r="F517" s="24"/>
      <c r="G517" s="24">
        <v>7100</v>
      </c>
      <c r="H517" s="24"/>
      <c r="I517" s="24">
        <v>0</v>
      </c>
      <c r="J517" s="24"/>
      <c r="K517" s="24">
        <v>3816.95</v>
      </c>
      <c r="L517" s="24"/>
      <c r="M517" s="24">
        <v>0</v>
      </c>
      <c r="N517" s="24"/>
      <c r="O517" s="24">
        <v>196369.58</v>
      </c>
      <c r="P517" s="24"/>
      <c r="Q517" s="24">
        <v>230865.62</v>
      </c>
      <c r="R517" s="24"/>
      <c r="S517" s="24">
        <v>19365.95</v>
      </c>
      <c r="T517" s="24"/>
      <c r="U517" s="24">
        <v>0</v>
      </c>
      <c r="V517" s="24"/>
      <c r="W517" s="24">
        <v>0</v>
      </c>
      <c r="X517" s="24"/>
      <c r="Y517" s="24">
        <v>0</v>
      </c>
      <c r="Z517" s="24"/>
      <c r="AA517" s="24">
        <v>0</v>
      </c>
      <c r="AB517" s="24"/>
      <c r="AC517" s="24">
        <v>0</v>
      </c>
      <c r="AD517" s="24"/>
      <c r="AE517" s="24">
        <f t="shared" si="21"/>
        <v>923399.38</v>
      </c>
      <c r="AF517" s="24"/>
      <c r="AG517" s="24">
        <v>-38842.94</v>
      </c>
      <c r="AH517" s="24"/>
      <c r="AI517" s="24">
        <v>197585.89</v>
      </c>
      <c r="AJ517" s="24"/>
      <c r="AK517" s="24">
        <v>158742.95000000001</v>
      </c>
      <c r="AL517" s="24">
        <f>+'Gov Rev'!AI514-'Gov Exp'!AE517+'Gov Exp'!AI517-'Gov Exp'!AK517</f>
        <v>0</v>
      </c>
      <c r="AM517" s="15" t="str">
        <f>'Gov Rev'!A514</f>
        <v>Peninsula</v>
      </c>
      <c r="AN517" s="15" t="str">
        <f t="shared" si="22"/>
        <v>Peninsula</v>
      </c>
      <c r="AO517" s="15" t="b">
        <f t="shared" si="23"/>
        <v>1</v>
      </c>
    </row>
    <row r="518" spans="1:41" ht="12" customHeight="1" x14ac:dyDescent="0.2">
      <c r="A518" s="15" t="s">
        <v>433</v>
      </c>
      <c r="C518" s="15" t="s">
        <v>430</v>
      </c>
      <c r="E518" s="24">
        <v>501609</v>
      </c>
      <c r="G518" s="24">
        <v>11506</v>
      </c>
      <c r="I518" s="24">
        <v>12440</v>
      </c>
      <c r="K518" s="24">
        <v>8399</v>
      </c>
      <c r="M518" s="24">
        <v>0</v>
      </c>
      <c r="O518" s="24">
        <v>112624</v>
      </c>
      <c r="Q518" s="24">
        <v>263793</v>
      </c>
      <c r="S518" s="24">
        <v>23247</v>
      </c>
      <c r="U518" s="24">
        <v>103350</v>
      </c>
      <c r="W518" s="24">
        <v>3732</v>
      </c>
      <c r="Y518" s="24">
        <v>12550</v>
      </c>
      <c r="AA518" s="24">
        <v>20753</v>
      </c>
      <c r="AC518" s="24">
        <v>0</v>
      </c>
      <c r="AE518" s="24">
        <f t="shared" si="21"/>
        <v>1074003</v>
      </c>
      <c r="AF518" s="24"/>
      <c r="AG518" s="24">
        <v>187707</v>
      </c>
      <c r="AH518" s="24"/>
      <c r="AI518" s="24">
        <v>279970</v>
      </c>
      <c r="AJ518" s="24"/>
      <c r="AK518" s="24">
        <v>467677</v>
      </c>
      <c r="AL518" s="24">
        <f>+'Gov Rev'!AI515-'Gov Exp'!AE518+'Gov Exp'!AI518-'Gov Exp'!AK518</f>
        <v>0</v>
      </c>
      <c r="AM518" s="15" t="str">
        <f>'Gov Rev'!A515</f>
        <v xml:space="preserve">Perry </v>
      </c>
      <c r="AN518" s="15" t="str">
        <f t="shared" si="22"/>
        <v xml:space="preserve">Perry </v>
      </c>
      <c r="AO518" s="15" t="b">
        <f t="shared" si="23"/>
        <v>1</v>
      </c>
    </row>
    <row r="519" spans="1:41" ht="12" customHeight="1" x14ac:dyDescent="0.2">
      <c r="A519" s="1" t="s">
        <v>677</v>
      </c>
      <c r="B519" s="1"/>
      <c r="C519" s="1" t="s">
        <v>666</v>
      </c>
      <c r="D519" s="31"/>
      <c r="E519" s="24">
        <v>74078.720000000001</v>
      </c>
      <c r="G519" s="24">
        <v>327.26</v>
      </c>
      <c r="I519" s="24">
        <v>7513.17</v>
      </c>
      <c r="K519" s="24">
        <v>0</v>
      </c>
      <c r="M519" s="24">
        <v>0</v>
      </c>
      <c r="O519" s="24">
        <v>40876.19</v>
      </c>
      <c r="Q519" s="24">
        <v>141551.12</v>
      </c>
      <c r="S519" s="24">
        <v>27707.51</v>
      </c>
      <c r="U519" s="24">
        <v>0</v>
      </c>
      <c r="W519" s="24">
        <v>0</v>
      </c>
      <c r="Y519" s="24">
        <v>5000</v>
      </c>
      <c r="AA519" s="24">
        <v>0</v>
      </c>
      <c r="AC519" s="24">
        <v>0</v>
      </c>
      <c r="AE519" s="24">
        <f t="shared" si="21"/>
        <v>297053.96999999997</v>
      </c>
      <c r="AF519" s="24"/>
      <c r="AG519" s="24">
        <v>196119.83</v>
      </c>
      <c r="AH519" s="24"/>
      <c r="AI519" s="24">
        <v>108156.09</v>
      </c>
      <c r="AJ519" s="24"/>
      <c r="AK519" s="24">
        <v>304275.92</v>
      </c>
      <c r="AL519" s="24">
        <f>+'Gov Rev'!AI516-'Gov Exp'!AE519+'Gov Exp'!AI519-'Gov Exp'!AK519</f>
        <v>0</v>
      </c>
      <c r="AM519" s="15" t="str">
        <f>'Gov Rev'!A516</f>
        <v>Perrysville</v>
      </c>
      <c r="AN519" s="15" t="str">
        <f t="shared" si="22"/>
        <v>Perrysville</v>
      </c>
      <c r="AO519" s="15" t="b">
        <f t="shared" si="23"/>
        <v>1</v>
      </c>
    </row>
    <row r="520" spans="1:41" ht="12" customHeight="1" x14ac:dyDescent="0.2">
      <c r="A520" s="15" t="s">
        <v>482</v>
      </c>
      <c r="C520" s="15" t="s">
        <v>479</v>
      </c>
      <c r="E520" s="24">
        <v>117194</v>
      </c>
      <c r="G520" s="24">
        <v>226319</v>
      </c>
      <c r="I520" s="24">
        <v>13235</v>
      </c>
      <c r="K520" s="24">
        <v>2406</v>
      </c>
      <c r="M520" s="24">
        <v>0</v>
      </c>
      <c r="O520" s="24">
        <v>47954</v>
      </c>
      <c r="Q520" s="24">
        <v>79967</v>
      </c>
      <c r="S520" s="24">
        <v>35758</v>
      </c>
      <c r="U520" s="24">
        <v>15982</v>
      </c>
      <c r="W520" s="24">
        <f>3444+4162</f>
        <v>7606</v>
      </c>
      <c r="Y520" s="24">
        <v>1000</v>
      </c>
      <c r="AA520" s="24">
        <v>60000</v>
      </c>
      <c r="AC520" s="24">
        <v>195871</v>
      </c>
      <c r="AE520" s="24">
        <f t="shared" si="21"/>
        <v>803292</v>
      </c>
      <c r="AF520" s="24"/>
      <c r="AG520" s="24">
        <v>554</v>
      </c>
      <c r="AH520" s="24"/>
      <c r="AI520" s="24">
        <v>410004</v>
      </c>
      <c r="AJ520" s="24"/>
      <c r="AK520" s="24">
        <v>410558</v>
      </c>
      <c r="AL520" s="24">
        <f>+'Gov Rev'!AI517-'Gov Exp'!AE520+'Gov Exp'!AI520-'Gov Exp'!AK520</f>
        <v>0</v>
      </c>
      <c r="AM520" s="15" t="str">
        <f>'Gov Rev'!A517</f>
        <v>Phillipsburg</v>
      </c>
      <c r="AN520" s="15" t="str">
        <f t="shared" si="22"/>
        <v>Phillipsburg</v>
      </c>
      <c r="AO520" s="15" t="b">
        <f t="shared" si="23"/>
        <v>1</v>
      </c>
    </row>
    <row r="521" spans="1:41" ht="12" customHeight="1" x14ac:dyDescent="0.2">
      <c r="A521" s="15" t="s">
        <v>487</v>
      </c>
      <c r="C521" s="15" t="s">
        <v>484</v>
      </c>
      <c r="E521" s="24">
        <v>8896</v>
      </c>
      <c r="G521" s="24">
        <v>0</v>
      </c>
      <c r="I521" s="24">
        <v>0</v>
      </c>
      <c r="K521" s="24">
        <v>0</v>
      </c>
      <c r="M521" s="24">
        <v>0</v>
      </c>
      <c r="O521" s="24">
        <v>88906</v>
      </c>
      <c r="Q521" s="24">
        <v>53466</v>
      </c>
      <c r="S521" s="24">
        <v>0</v>
      </c>
      <c r="U521" s="24">
        <v>0</v>
      </c>
      <c r="W521" s="24">
        <v>0</v>
      </c>
      <c r="Y521" s="24">
        <v>0</v>
      </c>
      <c r="AA521" s="24">
        <v>0</v>
      </c>
      <c r="AC521" s="24">
        <v>0</v>
      </c>
      <c r="AE521" s="24">
        <f t="shared" si="21"/>
        <v>151268</v>
      </c>
      <c r="AF521" s="24"/>
      <c r="AG521" s="24">
        <v>-1041</v>
      </c>
      <c r="AH521" s="24"/>
      <c r="AI521" s="24">
        <v>34021</v>
      </c>
      <c r="AJ521" s="24"/>
      <c r="AK521" s="24">
        <v>32980</v>
      </c>
      <c r="AL521" s="24">
        <f>+'Gov Rev'!AI518-'Gov Exp'!AE521+'Gov Exp'!AI521-'Gov Exp'!AK521</f>
        <v>0</v>
      </c>
      <c r="AM521" s="15" t="str">
        <f>'Gov Rev'!A518</f>
        <v>Philo</v>
      </c>
      <c r="AN521" s="15" t="str">
        <f t="shared" si="22"/>
        <v>Philo</v>
      </c>
      <c r="AO521" s="15" t="b">
        <f t="shared" si="23"/>
        <v>1</v>
      </c>
    </row>
    <row r="522" spans="1:41" s="24" customFormat="1" ht="12" customHeight="1" x14ac:dyDescent="0.2">
      <c r="A522" s="1" t="s">
        <v>505</v>
      </c>
      <c r="B522" s="1"/>
      <c r="C522" s="1" t="s">
        <v>506</v>
      </c>
      <c r="D522" s="31"/>
      <c r="E522" s="24">
        <v>270835.56</v>
      </c>
      <c r="G522" s="24">
        <v>0</v>
      </c>
      <c r="I522" s="24">
        <v>0</v>
      </c>
      <c r="K522" s="24">
        <v>7292.74</v>
      </c>
      <c r="M522" s="24">
        <v>0</v>
      </c>
      <c r="O522" s="24">
        <v>342270.78</v>
      </c>
      <c r="Q522" s="24">
        <v>215667.47</v>
      </c>
      <c r="S522" s="24">
        <v>0</v>
      </c>
      <c r="U522" s="24">
        <v>50527.72</v>
      </c>
      <c r="W522" s="24">
        <v>15241</v>
      </c>
      <c r="Y522" s="24">
        <v>0</v>
      </c>
      <c r="AA522" s="24">
        <v>0</v>
      </c>
      <c r="AC522" s="24">
        <v>0</v>
      </c>
      <c r="AE522" s="24">
        <f t="shared" si="21"/>
        <v>901835.27</v>
      </c>
      <c r="AG522" s="24">
        <v>-22481.93</v>
      </c>
      <c r="AI522" s="24">
        <v>1126711.17</v>
      </c>
      <c r="AK522" s="24">
        <v>1104229.24</v>
      </c>
      <c r="AL522" s="24">
        <f>+'Gov Rev'!AI519-'Gov Exp'!AE522+'Gov Exp'!AI522-'Gov Exp'!AK522</f>
        <v>0</v>
      </c>
      <c r="AM522" s="15" t="str">
        <f>'Gov Rev'!A519</f>
        <v>Piketon</v>
      </c>
      <c r="AN522" s="15" t="str">
        <f t="shared" si="22"/>
        <v>Piketon</v>
      </c>
      <c r="AO522" s="15" t="b">
        <f t="shared" si="23"/>
        <v>1</v>
      </c>
    </row>
    <row r="523" spans="1:41" ht="12" customHeight="1" x14ac:dyDescent="0.2">
      <c r="A523" s="15" t="s">
        <v>893</v>
      </c>
      <c r="C523" s="15" t="s">
        <v>596</v>
      </c>
      <c r="D523" s="28"/>
      <c r="E523" s="24">
        <v>315182</v>
      </c>
      <c r="G523" s="24">
        <v>12018</v>
      </c>
      <c r="I523" s="24">
        <v>38832</v>
      </c>
      <c r="K523" s="24">
        <v>17991</v>
      </c>
      <c r="M523" s="24">
        <v>55736</v>
      </c>
      <c r="O523" s="24">
        <v>54401</v>
      </c>
      <c r="Q523" s="24">
        <v>169495</v>
      </c>
      <c r="S523" s="24">
        <v>528539</v>
      </c>
      <c r="U523" s="24">
        <v>38413</v>
      </c>
      <c r="W523" s="24">
        <v>15665</v>
      </c>
      <c r="Y523" s="24">
        <v>0</v>
      </c>
      <c r="AA523" s="24">
        <v>0</v>
      </c>
      <c r="AC523" s="24">
        <v>0</v>
      </c>
      <c r="AE523" s="24">
        <f t="shared" si="21"/>
        <v>1246272</v>
      </c>
      <c r="AF523" s="24"/>
      <c r="AG523" s="24">
        <v>109186</v>
      </c>
      <c r="AH523" s="24"/>
      <c r="AI523" s="24">
        <v>860689</v>
      </c>
      <c r="AJ523" s="24"/>
      <c r="AK523" s="24">
        <v>969875</v>
      </c>
      <c r="AL523" s="24">
        <f>+'Gov Rev'!AI520-'Gov Exp'!AE523+'Gov Exp'!AI523-'Gov Exp'!AK523</f>
        <v>0</v>
      </c>
      <c r="AM523" s="15" t="str">
        <f>'Gov Rev'!A520</f>
        <v>Pioneer</v>
      </c>
      <c r="AN523" s="15" t="str">
        <f t="shared" si="22"/>
        <v>Pioneer</v>
      </c>
      <c r="AO523" s="15" t="b">
        <f t="shared" si="23"/>
        <v>1</v>
      </c>
    </row>
    <row r="524" spans="1:41" ht="12" customHeight="1" x14ac:dyDescent="0.2">
      <c r="A524" s="1" t="s">
        <v>54</v>
      </c>
      <c r="B524" s="1"/>
      <c r="C524" s="1" t="s">
        <v>752</v>
      </c>
      <c r="D524" s="31"/>
      <c r="E524" s="24">
        <v>38396.660000000003</v>
      </c>
      <c r="G524" s="24">
        <v>0</v>
      </c>
      <c r="I524" s="24">
        <v>2180.41</v>
      </c>
      <c r="K524" s="24">
        <v>0</v>
      </c>
      <c r="M524" s="24">
        <v>1782.4</v>
      </c>
      <c r="O524" s="24">
        <v>23175.77</v>
      </c>
      <c r="Q524" s="24">
        <v>41721.43</v>
      </c>
      <c r="S524" s="24">
        <v>1480</v>
      </c>
      <c r="U524" s="24">
        <v>0</v>
      </c>
      <c r="W524" s="24">
        <v>0</v>
      </c>
      <c r="Y524" s="24">
        <v>0</v>
      </c>
      <c r="AA524" s="24">
        <v>0</v>
      </c>
      <c r="AC524" s="24">
        <v>0</v>
      </c>
      <c r="AE524" s="24">
        <f t="shared" si="21"/>
        <v>108736.67000000001</v>
      </c>
      <c r="AF524" s="24"/>
      <c r="AG524" s="24">
        <v>14947.2</v>
      </c>
      <c r="AH524" s="24"/>
      <c r="AI524" s="24">
        <v>301269.95</v>
      </c>
      <c r="AJ524" s="24"/>
      <c r="AK524" s="24">
        <v>316217.15000000002</v>
      </c>
      <c r="AL524" s="24">
        <f>+'Gov Rev'!AI521-'Gov Exp'!AE524+'Gov Exp'!AI524-'Gov Exp'!AK524</f>
        <v>0</v>
      </c>
      <c r="AM524" s="15" t="str">
        <f>'Gov Rev'!A521</f>
        <v>Pitsburg</v>
      </c>
      <c r="AN524" s="15" t="str">
        <f t="shared" si="22"/>
        <v>Pitsburg</v>
      </c>
      <c r="AO524" s="15" t="b">
        <f t="shared" si="23"/>
        <v>1</v>
      </c>
    </row>
    <row r="525" spans="1:41" ht="12" customHeight="1" x14ac:dyDescent="0.2">
      <c r="A525" s="1" t="s">
        <v>460</v>
      </c>
      <c r="B525" s="1"/>
      <c r="C525" s="1" t="s">
        <v>432</v>
      </c>
      <c r="E525" s="24">
        <v>780814.37</v>
      </c>
      <c r="G525" s="24">
        <v>0</v>
      </c>
      <c r="I525" s="24">
        <v>494937.02</v>
      </c>
      <c r="K525" s="24">
        <v>0</v>
      </c>
      <c r="M525" s="24">
        <v>262633.81</v>
      </c>
      <c r="O525" s="24">
        <v>148627.78</v>
      </c>
      <c r="Q525" s="24">
        <v>936169.13</v>
      </c>
      <c r="S525" s="24">
        <v>407446.62</v>
      </c>
      <c r="U525" s="24">
        <v>16000</v>
      </c>
      <c r="W525" s="24">
        <v>101691.78</v>
      </c>
      <c r="Y525" s="24">
        <v>0</v>
      </c>
      <c r="AA525" s="24">
        <v>134000</v>
      </c>
      <c r="AC525" s="24">
        <v>0</v>
      </c>
      <c r="AE525" s="24">
        <f t="shared" si="21"/>
        <v>3282320.5100000002</v>
      </c>
      <c r="AF525" s="24"/>
      <c r="AG525" s="24">
        <v>-355397.54</v>
      </c>
      <c r="AH525" s="24"/>
      <c r="AI525" s="24">
        <v>2142899.39</v>
      </c>
      <c r="AJ525" s="24"/>
      <c r="AK525" s="24">
        <v>1787501.85</v>
      </c>
      <c r="AL525" s="24">
        <f>+'Gov Rev'!AI522-'Gov Exp'!AE525+'Gov Exp'!AI525-'Gov Exp'!AK525</f>
        <v>0</v>
      </c>
      <c r="AM525" s="15" t="str">
        <f>'Gov Rev'!A522</f>
        <v>Plain City</v>
      </c>
      <c r="AN525" s="15" t="str">
        <f t="shared" si="22"/>
        <v>Plain City</v>
      </c>
      <c r="AO525" s="15" t="b">
        <f t="shared" si="23"/>
        <v>1</v>
      </c>
    </row>
    <row r="526" spans="1:41" ht="12" customHeight="1" x14ac:dyDescent="0.2">
      <c r="A526" s="15" t="s">
        <v>894</v>
      </c>
      <c r="C526" s="15" t="s">
        <v>308</v>
      </c>
      <c r="E526" s="24">
        <v>3142</v>
      </c>
      <c r="G526" s="24">
        <v>0</v>
      </c>
      <c r="I526" s="24">
        <v>8244</v>
      </c>
      <c r="K526" s="24">
        <v>0</v>
      </c>
      <c r="M526" s="24">
        <v>0</v>
      </c>
      <c r="O526" s="24">
        <v>13800</v>
      </c>
      <c r="Q526" s="24">
        <v>5814</v>
      </c>
      <c r="S526" s="24">
        <v>0</v>
      </c>
      <c r="U526" s="24">
        <v>0</v>
      </c>
      <c r="W526" s="24">
        <v>0</v>
      </c>
      <c r="Y526" s="24">
        <v>0</v>
      </c>
      <c r="AA526" s="24">
        <v>0</v>
      </c>
      <c r="AC526" s="24">
        <v>0</v>
      </c>
      <c r="AE526" s="24">
        <f t="shared" si="21"/>
        <v>31000</v>
      </c>
      <c r="AF526" s="24"/>
      <c r="AG526" s="24">
        <v>-15445</v>
      </c>
      <c r="AH526" s="24"/>
      <c r="AI526" s="24">
        <v>169361</v>
      </c>
      <c r="AJ526" s="24"/>
      <c r="AK526" s="24">
        <v>153916</v>
      </c>
      <c r="AL526" s="24">
        <f>+'Gov Rev'!AI523-'Gov Exp'!AE526+'Gov Exp'!AI526-'Gov Exp'!AK526</f>
        <v>0</v>
      </c>
      <c r="AM526" s="15" t="str">
        <f>'Gov Rev'!A523</f>
        <v>Plainfield</v>
      </c>
      <c r="AN526" s="15" t="str">
        <f t="shared" si="22"/>
        <v>Plainfield</v>
      </c>
      <c r="AO526" s="15" t="b">
        <f t="shared" si="23"/>
        <v>1</v>
      </c>
    </row>
    <row r="527" spans="1:41" s="31" customFormat="1" ht="12" customHeight="1" x14ac:dyDescent="0.2">
      <c r="A527" s="1" t="s">
        <v>376</v>
      </c>
      <c r="B527" s="1"/>
      <c r="C527" s="1" t="s">
        <v>375</v>
      </c>
      <c r="E527" s="24">
        <v>28048.97</v>
      </c>
      <c r="F527" s="24"/>
      <c r="G527" s="24">
        <v>1000</v>
      </c>
      <c r="H527" s="24"/>
      <c r="I527" s="24">
        <v>0</v>
      </c>
      <c r="J527" s="24"/>
      <c r="K527" s="24">
        <v>0</v>
      </c>
      <c r="L527" s="24"/>
      <c r="M527" s="24">
        <v>1937.51</v>
      </c>
      <c r="N527" s="24"/>
      <c r="O527" s="24">
        <v>26335.67</v>
      </c>
      <c r="P527" s="24"/>
      <c r="Q527" s="24">
        <v>36523.629999999997</v>
      </c>
      <c r="R527" s="24"/>
      <c r="S527" s="24">
        <v>0</v>
      </c>
      <c r="T527" s="24"/>
      <c r="U527" s="24">
        <v>7633.61</v>
      </c>
      <c r="V527" s="24"/>
      <c r="W527" s="24">
        <v>976.35</v>
      </c>
      <c r="X527" s="24"/>
      <c r="Y527" s="24">
        <v>0</v>
      </c>
      <c r="Z527" s="24"/>
      <c r="AA527" s="24">
        <v>0</v>
      </c>
      <c r="AB527" s="24"/>
      <c r="AC527" s="24">
        <v>0</v>
      </c>
      <c r="AD527" s="24"/>
      <c r="AE527" s="24">
        <f t="shared" si="21"/>
        <v>102455.74</v>
      </c>
      <c r="AF527" s="24"/>
      <c r="AG527" s="24">
        <v>20625.82</v>
      </c>
      <c r="AH527" s="24"/>
      <c r="AI527" s="24">
        <v>112035.44</v>
      </c>
      <c r="AJ527" s="24"/>
      <c r="AK527" s="24">
        <v>132661.26</v>
      </c>
      <c r="AL527" s="24">
        <f>+'Gov Rev'!AI524-'Gov Exp'!AE527+'Gov Exp'!AI527-'Gov Exp'!AK527</f>
        <v>0</v>
      </c>
      <c r="AM527" s="15" t="str">
        <f>'Gov Rev'!A524</f>
        <v>Pleasant City</v>
      </c>
      <c r="AN527" s="15" t="str">
        <f t="shared" si="22"/>
        <v>Pleasant City</v>
      </c>
      <c r="AO527" s="15" t="b">
        <f t="shared" si="23"/>
        <v>1</v>
      </c>
    </row>
    <row r="528" spans="1:41" ht="12" customHeight="1" x14ac:dyDescent="0.2">
      <c r="A528" s="1" t="s">
        <v>163</v>
      </c>
      <c r="B528" s="1"/>
      <c r="C528" s="1" t="s">
        <v>784</v>
      </c>
      <c r="D528" s="31"/>
      <c r="E528" s="24">
        <v>41863.19</v>
      </c>
      <c r="G528" s="24">
        <v>24102.06</v>
      </c>
      <c r="I528" s="24">
        <v>3680.67</v>
      </c>
      <c r="K528" s="24">
        <v>0</v>
      </c>
      <c r="M528" s="24">
        <v>0</v>
      </c>
      <c r="O528" s="24">
        <v>34225.410000000003</v>
      </c>
      <c r="Q528" s="24">
        <v>124733.49</v>
      </c>
      <c r="S528" s="24">
        <v>949266.22</v>
      </c>
      <c r="U528" s="24">
        <v>22369.93</v>
      </c>
      <c r="W528" s="24">
        <v>0</v>
      </c>
      <c r="Y528" s="24">
        <v>2079</v>
      </c>
      <c r="AA528" s="24">
        <v>0</v>
      </c>
      <c r="AC528" s="24">
        <v>0</v>
      </c>
      <c r="AE528" s="24">
        <f t="shared" si="21"/>
        <v>1202319.97</v>
      </c>
      <c r="AF528" s="24"/>
      <c r="AG528" s="24">
        <v>-199.5</v>
      </c>
      <c r="AH528" s="24"/>
      <c r="AI528" s="24">
        <v>533923.81000000006</v>
      </c>
      <c r="AJ528" s="24"/>
      <c r="AK528" s="24">
        <v>533724.31000000006</v>
      </c>
      <c r="AL528" s="24">
        <f>+'Gov Rev'!AI525-'Gov Exp'!AE528+'Gov Exp'!AI528-'Gov Exp'!AK528</f>
        <v>0</v>
      </c>
      <c r="AM528" s="15" t="str">
        <f>'Gov Rev'!A525</f>
        <v>Pleasant Hill</v>
      </c>
      <c r="AN528" s="15" t="str">
        <f t="shared" si="22"/>
        <v>Pleasant Hill</v>
      </c>
      <c r="AO528" s="15" t="b">
        <f t="shared" si="23"/>
        <v>1</v>
      </c>
    </row>
    <row r="529" spans="1:41" ht="12" customHeight="1" x14ac:dyDescent="0.2">
      <c r="A529" s="1" t="s">
        <v>244</v>
      </c>
      <c r="B529" s="1"/>
      <c r="C529" s="1" t="s">
        <v>809</v>
      </c>
      <c r="D529" s="31"/>
      <c r="E529" s="24">
        <v>2080.48</v>
      </c>
      <c r="G529" s="24">
        <v>0</v>
      </c>
      <c r="I529" s="24">
        <v>0</v>
      </c>
      <c r="K529" s="24">
        <v>0</v>
      </c>
      <c r="M529" s="24">
        <v>0</v>
      </c>
      <c r="O529" s="24">
        <v>1600</v>
      </c>
      <c r="Q529" s="24">
        <v>9877.0300000000007</v>
      </c>
      <c r="S529" s="24">
        <v>0</v>
      </c>
      <c r="U529" s="24">
        <v>0</v>
      </c>
      <c r="W529" s="24">
        <v>0</v>
      </c>
      <c r="Y529" s="24">
        <v>0</v>
      </c>
      <c r="AA529" s="24">
        <v>0</v>
      </c>
      <c r="AC529" s="24">
        <v>0</v>
      </c>
      <c r="AE529" s="24">
        <f t="shared" si="21"/>
        <v>13557.51</v>
      </c>
      <c r="AF529" s="24"/>
      <c r="AG529" s="24">
        <v>6952.2</v>
      </c>
      <c r="AH529" s="24"/>
      <c r="AI529" s="24">
        <v>75593.27</v>
      </c>
      <c r="AJ529" s="24"/>
      <c r="AK529" s="24">
        <v>82545.47</v>
      </c>
      <c r="AL529" s="24">
        <f>+'Gov Rev'!AI526-'Gov Exp'!AE529+'Gov Exp'!AI529-'Gov Exp'!AK529</f>
        <v>0</v>
      </c>
      <c r="AM529" s="15" t="str">
        <f>'Gov Rev'!A526</f>
        <v>Pleasant Plain</v>
      </c>
      <c r="AN529" s="15" t="str">
        <f t="shared" si="22"/>
        <v>Pleasant Plain</v>
      </c>
      <c r="AO529" s="15" t="b">
        <f t="shared" si="23"/>
        <v>1</v>
      </c>
    </row>
    <row r="530" spans="1:41" ht="12" customHeight="1" x14ac:dyDescent="0.2">
      <c r="A530" s="1" t="s">
        <v>64</v>
      </c>
      <c r="B530" s="1"/>
      <c r="C530" s="1" t="s">
        <v>756</v>
      </c>
      <c r="D530" s="31"/>
      <c r="E530" s="24">
        <v>55848.93</v>
      </c>
      <c r="G530" s="24">
        <v>4069.63</v>
      </c>
      <c r="I530" s="24">
        <v>5742.31</v>
      </c>
      <c r="K530" s="24">
        <v>3748.74</v>
      </c>
      <c r="M530" s="24">
        <v>0</v>
      </c>
      <c r="O530" s="24">
        <v>38053.449999999997</v>
      </c>
      <c r="Q530" s="24">
        <v>53453.82</v>
      </c>
      <c r="S530" s="24">
        <v>1000</v>
      </c>
      <c r="U530" s="24">
        <v>2646.76</v>
      </c>
      <c r="W530" s="24">
        <v>0</v>
      </c>
      <c r="Y530" s="24">
        <v>11181.76</v>
      </c>
      <c r="AA530" s="24">
        <v>0</v>
      </c>
      <c r="AC530" s="24">
        <v>0</v>
      </c>
      <c r="AE530" s="24">
        <f t="shared" si="21"/>
        <v>175745.40000000002</v>
      </c>
      <c r="AF530" s="24"/>
      <c r="AG530" s="24">
        <v>-11522.72</v>
      </c>
      <c r="AH530" s="24"/>
      <c r="AI530" s="24">
        <v>105132.24</v>
      </c>
      <c r="AJ530" s="24"/>
      <c r="AK530" s="24">
        <v>93609.52</v>
      </c>
      <c r="AL530" s="24">
        <f>+'Gov Rev'!AI527-'Gov Exp'!AE530+'Gov Exp'!AI530-'Gov Exp'!AK530</f>
        <v>0</v>
      </c>
      <c r="AM530" s="15" t="str">
        <f>'Gov Rev'!A527</f>
        <v>Pleasantville</v>
      </c>
      <c r="AN530" s="15" t="str">
        <f t="shared" si="22"/>
        <v>Pleasantville</v>
      </c>
      <c r="AO530" s="15" t="b">
        <f t="shared" si="23"/>
        <v>1</v>
      </c>
    </row>
    <row r="531" spans="1:41" s="31" customFormat="1" ht="12" customHeight="1" x14ac:dyDescent="0.2">
      <c r="A531" s="1" t="s">
        <v>209</v>
      </c>
      <c r="B531" s="1"/>
      <c r="C531" s="1" t="s">
        <v>798</v>
      </c>
      <c r="E531" s="24">
        <v>433738.5</v>
      </c>
      <c r="F531" s="24"/>
      <c r="G531" s="24">
        <v>53518.44</v>
      </c>
      <c r="H531" s="24"/>
      <c r="I531" s="24">
        <v>25045.74</v>
      </c>
      <c r="J531" s="24"/>
      <c r="K531" s="24">
        <v>66698.53</v>
      </c>
      <c r="L531" s="24"/>
      <c r="M531" s="24">
        <v>0</v>
      </c>
      <c r="N531" s="24"/>
      <c r="O531" s="24">
        <v>149382.67000000001</v>
      </c>
      <c r="P531" s="24"/>
      <c r="Q531" s="24">
        <v>215196.16</v>
      </c>
      <c r="R531" s="24"/>
      <c r="S531" s="24">
        <v>338229.87</v>
      </c>
      <c r="T531" s="24"/>
      <c r="U531" s="24">
        <v>19355.599999999999</v>
      </c>
      <c r="V531" s="24"/>
      <c r="W531" s="24">
        <v>2267.35</v>
      </c>
      <c r="X531" s="24"/>
      <c r="Y531" s="24">
        <v>47062.73</v>
      </c>
      <c r="Z531" s="24"/>
      <c r="AA531" s="24">
        <v>0</v>
      </c>
      <c r="AB531" s="24"/>
      <c r="AC531" s="24">
        <v>0</v>
      </c>
      <c r="AD531" s="24"/>
      <c r="AE531" s="24">
        <f t="shared" si="21"/>
        <v>1350495.5900000003</v>
      </c>
      <c r="AF531" s="24"/>
      <c r="AG531" s="24">
        <v>-185366.73</v>
      </c>
      <c r="AH531" s="24"/>
      <c r="AI531" s="24">
        <v>681630.85</v>
      </c>
      <c r="AJ531" s="24"/>
      <c r="AK531" s="24">
        <v>496264.12</v>
      </c>
      <c r="AL531" s="24">
        <f>+'Gov Rev'!AI528-'Gov Exp'!AE531+'Gov Exp'!AI531-'Gov Exp'!AK531</f>
        <v>0</v>
      </c>
      <c r="AM531" s="15" t="str">
        <f>'Gov Rev'!A528</f>
        <v>Plymouth</v>
      </c>
      <c r="AN531" s="15" t="str">
        <f t="shared" si="22"/>
        <v>Plymouth</v>
      </c>
      <c r="AO531" s="15" t="b">
        <f t="shared" si="23"/>
        <v>1</v>
      </c>
    </row>
    <row r="532" spans="1:41" ht="12" customHeight="1" x14ac:dyDescent="0.2">
      <c r="A532" s="1" t="s">
        <v>146</v>
      </c>
      <c r="B532" s="1"/>
      <c r="C532" s="1" t="s">
        <v>779</v>
      </c>
      <c r="D532" s="31"/>
      <c r="E532" s="24">
        <v>521164.19</v>
      </c>
      <c r="G532" s="24">
        <v>16167</v>
      </c>
      <c r="I532" s="24">
        <v>9294.4699999999993</v>
      </c>
      <c r="K532" s="24">
        <v>9525.44</v>
      </c>
      <c r="M532" s="24">
        <v>17943</v>
      </c>
      <c r="O532" s="24">
        <v>156367.44</v>
      </c>
      <c r="Q532" s="24">
        <v>239904.44</v>
      </c>
      <c r="S532" s="24">
        <v>0</v>
      </c>
      <c r="U532" s="24">
        <v>0</v>
      </c>
      <c r="W532" s="24">
        <v>0</v>
      </c>
      <c r="Y532" s="24">
        <v>8002.44</v>
      </c>
      <c r="AA532" s="24">
        <v>0</v>
      </c>
      <c r="AC532" s="24">
        <v>0</v>
      </c>
      <c r="AE532" s="24">
        <f t="shared" si="21"/>
        <v>978368.41999999969</v>
      </c>
      <c r="AF532" s="24"/>
      <c r="AG532" s="24">
        <v>174109.63</v>
      </c>
      <c r="AH532" s="24"/>
      <c r="AI532" s="24">
        <v>1640321.36</v>
      </c>
      <c r="AJ532" s="24"/>
      <c r="AK532" s="24">
        <v>1814430.99</v>
      </c>
      <c r="AL532" s="24">
        <f>+'Gov Rev'!AI529-'Gov Exp'!AE532+'Gov Exp'!AI532-'Gov Exp'!AK532</f>
        <v>0</v>
      </c>
      <c r="AM532" s="15" t="str">
        <f>'Gov Rev'!A529</f>
        <v>Poland</v>
      </c>
      <c r="AN532" s="15" t="str">
        <f t="shared" si="22"/>
        <v>Poland</v>
      </c>
      <c r="AO532" s="15" t="b">
        <f t="shared" si="23"/>
        <v>1</v>
      </c>
    </row>
    <row r="533" spans="1:41" ht="12" customHeight="1" x14ac:dyDescent="0.2">
      <c r="A533" s="1" t="s">
        <v>678</v>
      </c>
      <c r="B533" s="1"/>
      <c r="C533" s="1" t="s">
        <v>666</v>
      </c>
      <c r="D533" s="31"/>
      <c r="E533" s="24">
        <v>4049.62</v>
      </c>
      <c r="G533" s="24">
        <v>128.46</v>
      </c>
      <c r="I533" s="24">
        <v>4244.08</v>
      </c>
      <c r="K533" s="24">
        <v>2420.13</v>
      </c>
      <c r="M533" s="24">
        <v>278.64999999999998</v>
      </c>
      <c r="O533" s="24">
        <v>5842.26</v>
      </c>
      <c r="Q533" s="24">
        <v>37410.29</v>
      </c>
      <c r="S533" s="24">
        <v>0</v>
      </c>
      <c r="U533" s="24">
        <v>0</v>
      </c>
      <c r="W533" s="24">
        <v>0</v>
      </c>
      <c r="Y533" s="24">
        <v>0</v>
      </c>
      <c r="AA533" s="24">
        <v>0</v>
      </c>
      <c r="AC533" s="24">
        <v>0</v>
      </c>
      <c r="AE533" s="24">
        <f t="shared" si="21"/>
        <v>54373.490000000005</v>
      </c>
      <c r="AF533" s="24"/>
      <c r="AG533" s="24">
        <v>5366.03</v>
      </c>
      <c r="AH533" s="24"/>
      <c r="AI533" s="24">
        <v>84269.86</v>
      </c>
      <c r="AJ533" s="24"/>
      <c r="AK533" s="24">
        <v>89635.89</v>
      </c>
      <c r="AL533" s="24">
        <f>+'Gov Rev'!AI530-'Gov Exp'!AE533+'Gov Exp'!AI533-'Gov Exp'!AK533</f>
        <v>0</v>
      </c>
      <c r="AM533" s="15" t="str">
        <f>'Gov Rev'!A530</f>
        <v>Polk</v>
      </c>
      <c r="AN533" s="15" t="str">
        <f t="shared" si="22"/>
        <v>Polk</v>
      </c>
      <c r="AO533" s="15" t="b">
        <f t="shared" si="23"/>
        <v>1</v>
      </c>
    </row>
    <row r="534" spans="1:41" ht="12" customHeight="1" x14ac:dyDescent="0.2">
      <c r="A534" s="1" t="s">
        <v>157</v>
      </c>
      <c r="B534" s="1"/>
      <c r="C534" s="1" t="s">
        <v>782</v>
      </c>
      <c r="D534" s="31"/>
      <c r="E534" s="24">
        <v>541025.67000000004</v>
      </c>
      <c r="G534" s="24">
        <v>18833.27</v>
      </c>
      <c r="I534" s="24">
        <v>4810</v>
      </c>
      <c r="K534" s="24">
        <v>0</v>
      </c>
      <c r="M534" s="24">
        <v>31981.78</v>
      </c>
      <c r="O534" s="24">
        <v>1074125.3500000001</v>
      </c>
      <c r="Q534" s="24">
        <v>161101.79999999999</v>
      </c>
      <c r="S534" s="24">
        <v>25210.44</v>
      </c>
      <c r="U534" s="24">
        <v>103978.93</v>
      </c>
      <c r="W534" s="24">
        <v>25495.35</v>
      </c>
      <c r="Y534" s="24">
        <v>8897</v>
      </c>
      <c r="AA534" s="24">
        <v>1000</v>
      </c>
      <c r="AC534" s="24">
        <v>239.74</v>
      </c>
      <c r="AE534" s="24">
        <f t="shared" si="21"/>
        <v>1996699.3300000003</v>
      </c>
      <c r="AF534" s="24"/>
      <c r="AG534" s="24">
        <v>79742.600000000006</v>
      </c>
      <c r="AH534" s="24"/>
      <c r="AI534" s="24">
        <v>137180.94</v>
      </c>
      <c r="AJ534" s="24"/>
      <c r="AK534" s="24">
        <v>216923.54</v>
      </c>
      <c r="AL534" s="24">
        <f>+'Gov Rev'!AI534-'Gov Exp'!AE534+'Gov Exp'!AI534-'Gov Exp'!AK534</f>
        <v>-3.7834979593753815E-10</v>
      </c>
      <c r="AM534" s="15" t="str">
        <f>'Gov Rev'!A534</f>
        <v>Pomeroy</v>
      </c>
      <c r="AN534" s="15" t="str">
        <f t="shared" si="22"/>
        <v>Pomeroy</v>
      </c>
      <c r="AO534" s="15" t="b">
        <f t="shared" si="23"/>
        <v>1</v>
      </c>
    </row>
    <row r="535" spans="1:41" ht="12" customHeight="1" x14ac:dyDescent="0.2">
      <c r="A535" s="15" t="s">
        <v>895</v>
      </c>
      <c r="C535" s="15" t="s">
        <v>536</v>
      </c>
      <c r="E535" s="24">
        <v>21641</v>
      </c>
      <c r="G535" s="24">
        <v>901</v>
      </c>
      <c r="I535" s="24">
        <v>0</v>
      </c>
      <c r="K535" s="24">
        <v>148</v>
      </c>
      <c r="M535" s="24">
        <f>926+6274</f>
        <v>7200</v>
      </c>
      <c r="O535" s="24">
        <f>16367+1217+655</f>
        <v>18239</v>
      </c>
      <c r="Q535" s="24">
        <v>30969</v>
      </c>
      <c r="S535" s="24">
        <v>0</v>
      </c>
      <c r="U535" s="24">
        <v>0</v>
      </c>
      <c r="W535" s="24">
        <v>0</v>
      </c>
      <c r="Y535" s="24">
        <v>0</v>
      </c>
      <c r="AA535" s="24">
        <v>0</v>
      </c>
      <c r="AC535" s="24">
        <v>0</v>
      </c>
      <c r="AE535" s="24">
        <f t="shared" si="21"/>
        <v>79098</v>
      </c>
      <c r="AF535" s="24"/>
      <c r="AG535" s="24">
        <f>'Gov Rev'!AI535-'Gov Exp'!AE535</f>
        <v>-8099</v>
      </c>
      <c r="AH535" s="24"/>
      <c r="AI535" s="24">
        <f>AK535-AG535</f>
        <v>40681</v>
      </c>
      <c r="AJ535" s="24"/>
      <c r="AK535" s="24">
        <v>32582</v>
      </c>
      <c r="AL535" s="24">
        <f>+'Gov Rev'!AI535-'Gov Exp'!AE535+'Gov Exp'!AI535-'Gov Exp'!AK535</f>
        <v>0</v>
      </c>
      <c r="AM535" s="15" t="str">
        <f>'Gov Rev'!A535</f>
        <v>Port Jefferson</v>
      </c>
      <c r="AN535" s="15" t="str">
        <f t="shared" si="22"/>
        <v>Port Jefferson</v>
      </c>
      <c r="AO535" s="15" t="b">
        <f t="shared" si="23"/>
        <v>1</v>
      </c>
    </row>
    <row r="536" spans="1:41" ht="12" customHeight="1" x14ac:dyDescent="0.2">
      <c r="A536" s="1" t="s">
        <v>679</v>
      </c>
      <c r="B536" s="1"/>
      <c r="C536" s="1" t="s">
        <v>560</v>
      </c>
      <c r="D536" s="31"/>
      <c r="E536" s="24">
        <v>25892.57</v>
      </c>
      <c r="G536" s="24">
        <v>6627.89</v>
      </c>
      <c r="I536" s="24">
        <v>383.33</v>
      </c>
      <c r="K536" s="24">
        <v>1073.07</v>
      </c>
      <c r="M536" s="24">
        <v>0</v>
      </c>
      <c r="O536" s="24">
        <v>9157.99</v>
      </c>
      <c r="Q536" s="24">
        <v>56568.05</v>
      </c>
      <c r="S536" s="24">
        <v>0</v>
      </c>
      <c r="U536" s="24">
        <v>0</v>
      </c>
      <c r="W536" s="24">
        <v>0</v>
      </c>
      <c r="Y536" s="24">
        <v>0</v>
      </c>
      <c r="AA536" s="24">
        <v>0</v>
      </c>
      <c r="AC536" s="24">
        <v>0</v>
      </c>
      <c r="AE536" s="24">
        <f t="shared" si="21"/>
        <v>99702.9</v>
      </c>
      <c r="AF536" s="24"/>
      <c r="AG536" s="24">
        <v>50131.82</v>
      </c>
      <c r="AH536" s="24"/>
      <c r="AI536" s="24">
        <v>146632.45000000001</v>
      </c>
      <c r="AJ536" s="24"/>
      <c r="AK536" s="24">
        <v>196764.27</v>
      </c>
      <c r="AL536" s="24">
        <f>+'Gov Rev'!AI536-'Gov Exp'!AE536+'Gov Exp'!AI536-'Gov Exp'!AK536</f>
        <v>0</v>
      </c>
      <c r="AM536" s="15" t="str">
        <f>'Gov Rev'!A536</f>
        <v>Port Washington</v>
      </c>
      <c r="AN536" s="15" t="str">
        <f t="shared" si="22"/>
        <v>Port Washington</v>
      </c>
      <c r="AO536" s="15" t="b">
        <f t="shared" si="23"/>
        <v>1</v>
      </c>
    </row>
    <row r="537" spans="1:41" ht="12" customHeight="1" x14ac:dyDescent="0.2">
      <c r="A537" s="1" t="s">
        <v>303</v>
      </c>
      <c r="B537" s="1"/>
      <c r="C537" s="1" t="s">
        <v>299</v>
      </c>
      <c r="D537" s="31"/>
      <c r="E537" s="24">
        <v>61434.19</v>
      </c>
      <c r="G537" s="24">
        <v>0</v>
      </c>
      <c r="I537" s="24">
        <v>0</v>
      </c>
      <c r="K537" s="24">
        <v>0</v>
      </c>
      <c r="M537" s="24">
        <v>0</v>
      </c>
      <c r="O537" s="24">
        <v>1472.26</v>
      </c>
      <c r="Q537" s="24">
        <v>27820.23</v>
      </c>
      <c r="S537" s="24">
        <v>4195</v>
      </c>
      <c r="U537" s="24">
        <v>82119.47</v>
      </c>
      <c r="W537" s="24">
        <v>1671.06</v>
      </c>
      <c r="Y537" s="24">
        <v>83794.77</v>
      </c>
      <c r="AA537" s="24">
        <v>0</v>
      </c>
      <c r="AC537" s="24">
        <v>0</v>
      </c>
      <c r="AE537" s="24">
        <f t="shared" ref="AE537:AE603" si="24">SUM(E537:AC537)</f>
        <v>262506.98000000004</v>
      </c>
      <c r="AF537" s="24"/>
      <c r="AG537" s="24">
        <v>-17357.16</v>
      </c>
      <c r="AH537" s="24"/>
      <c r="AI537" s="24">
        <v>171456.01</v>
      </c>
      <c r="AJ537" s="24"/>
      <c r="AK537" s="24">
        <v>154098.85</v>
      </c>
      <c r="AL537" s="24">
        <f>+'Gov Rev'!AI537-'Gov Exp'!AE537+'Gov Exp'!AI537-'Gov Exp'!AK537</f>
        <v>0</v>
      </c>
      <c r="AM537" s="15" t="str">
        <f>'Gov Rev'!A537</f>
        <v>Port William</v>
      </c>
      <c r="AN537" s="15" t="str">
        <f t="shared" ref="AN537:AN603" si="25">A537</f>
        <v>Port William</v>
      </c>
      <c r="AO537" s="15" t="b">
        <f t="shared" ref="AO537:AO603" si="26">AM537=AN537</f>
        <v>1</v>
      </c>
    </row>
    <row r="538" spans="1:41" s="31" customFormat="1" ht="12" customHeight="1" x14ac:dyDescent="0.2">
      <c r="A538" s="1" t="s">
        <v>259</v>
      </c>
      <c r="B538" s="1"/>
      <c r="C538" s="1" t="s">
        <v>813</v>
      </c>
      <c r="E538" s="24">
        <v>7079.54</v>
      </c>
      <c r="F538" s="24"/>
      <c r="G538" s="24">
        <v>297.94</v>
      </c>
      <c r="H538" s="24"/>
      <c r="I538" s="24">
        <v>151.6</v>
      </c>
      <c r="J538" s="24"/>
      <c r="K538" s="24">
        <v>547.89</v>
      </c>
      <c r="L538" s="24"/>
      <c r="M538" s="24">
        <v>0</v>
      </c>
      <c r="N538" s="24"/>
      <c r="O538" s="24">
        <v>13144.73</v>
      </c>
      <c r="P538" s="24"/>
      <c r="Q538" s="24">
        <v>51270.32</v>
      </c>
      <c r="R538" s="24"/>
      <c r="S538" s="24">
        <v>0</v>
      </c>
      <c r="T538" s="24"/>
      <c r="U538" s="24">
        <v>6196.36</v>
      </c>
      <c r="V538" s="24"/>
      <c r="W538" s="24">
        <v>496.54</v>
      </c>
      <c r="X538" s="24"/>
      <c r="Y538" s="24">
        <v>18379.59</v>
      </c>
      <c r="Z538" s="24"/>
      <c r="AA538" s="24">
        <v>0</v>
      </c>
      <c r="AB538" s="24"/>
      <c r="AC538" s="24">
        <v>0</v>
      </c>
      <c r="AD538" s="24"/>
      <c r="AE538" s="24">
        <f t="shared" si="24"/>
        <v>97564.51</v>
      </c>
      <c r="AF538" s="24"/>
      <c r="AG538" s="24">
        <v>64254.75</v>
      </c>
      <c r="AH538" s="24"/>
      <c r="AI538" s="24">
        <v>-88463.35</v>
      </c>
      <c r="AJ538" s="24"/>
      <c r="AK538" s="24">
        <v>-24208.6</v>
      </c>
      <c r="AL538" s="24">
        <f>+'Gov Rev'!AI538-'Gov Exp'!AE538+'Gov Exp'!AI538-'Gov Exp'!AK538</f>
        <v>0</v>
      </c>
      <c r="AM538" s="15" t="str">
        <f>'Gov Rev'!A538</f>
        <v>Portage</v>
      </c>
      <c r="AN538" s="15" t="str">
        <f t="shared" si="25"/>
        <v>Portage</v>
      </c>
      <c r="AO538" s="15" t="b">
        <f t="shared" si="26"/>
        <v>1</v>
      </c>
    </row>
    <row r="539" spans="1:41" ht="12" customHeight="1" x14ac:dyDescent="0.2">
      <c r="A539" s="1" t="s">
        <v>471</v>
      </c>
      <c r="B539" s="1"/>
      <c r="C539" s="1" t="s">
        <v>470</v>
      </c>
      <c r="D539" s="31"/>
      <c r="E539" s="24">
        <v>6032</v>
      </c>
      <c r="G539" s="24">
        <v>0</v>
      </c>
      <c r="I539" s="24">
        <v>1925</v>
      </c>
      <c r="K539" s="24">
        <v>0</v>
      </c>
      <c r="M539" s="24">
        <v>0</v>
      </c>
      <c r="O539" s="24">
        <v>5952</v>
      </c>
      <c r="Q539" s="24">
        <v>18376.38</v>
      </c>
      <c r="S539" s="24">
        <v>0</v>
      </c>
      <c r="U539" s="24">
        <v>5209.38</v>
      </c>
      <c r="W539" s="24">
        <v>2980.68</v>
      </c>
      <c r="Y539" s="24">
        <v>8200</v>
      </c>
      <c r="AA539" s="24">
        <v>0</v>
      </c>
      <c r="AC539" s="24">
        <v>0</v>
      </c>
      <c r="AE539" s="24">
        <f t="shared" si="24"/>
        <v>48675.44</v>
      </c>
      <c r="AF539" s="24"/>
      <c r="AG539" s="24">
        <v>-2319.67</v>
      </c>
      <c r="AH539" s="24"/>
      <c r="AI539" s="24">
        <v>86350.2</v>
      </c>
      <c r="AJ539" s="24"/>
      <c r="AK539" s="24">
        <v>84030.53</v>
      </c>
      <c r="AL539" s="24">
        <f>+'Gov Rev'!AI539-'Gov Exp'!AE539+'Gov Exp'!AI539-'Gov Exp'!AK539</f>
        <v>0</v>
      </c>
      <c r="AM539" s="15" t="str">
        <f>'Gov Rev'!A539</f>
        <v>Potsdam</v>
      </c>
      <c r="AN539" s="15" t="str">
        <f t="shared" si="25"/>
        <v>Potsdam</v>
      </c>
      <c r="AO539" s="15" t="b">
        <f t="shared" si="26"/>
        <v>1</v>
      </c>
    </row>
    <row r="540" spans="1:41" ht="12" customHeight="1" x14ac:dyDescent="0.2">
      <c r="A540" s="1" t="s">
        <v>19</v>
      </c>
      <c r="B540" s="1"/>
      <c r="C540" s="1" t="s">
        <v>741</v>
      </c>
      <c r="D540" s="31"/>
      <c r="E540" s="24">
        <v>325318.11</v>
      </c>
      <c r="G540" s="24">
        <v>4879</v>
      </c>
      <c r="I540" s="24">
        <v>0</v>
      </c>
      <c r="K540" s="24">
        <v>0</v>
      </c>
      <c r="M540" s="24">
        <v>0</v>
      </c>
      <c r="O540" s="24">
        <v>160181.84</v>
      </c>
      <c r="Q540" s="24">
        <v>164960.23000000001</v>
      </c>
      <c r="S540" s="24">
        <v>84659.44</v>
      </c>
      <c r="U540" s="24">
        <v>0</v>
      </c>
      <c r="W540" s="24">
        <v>0</v>
      </c>
      <c r="Y540" s="24">
        <v>37526.81</v>
      </c>
      <c r="AA540" s="24">
        <v>1100</v>
      </c>
      <c r="AC540" s="24">
        <v>9.02</v>
      </c>
      <c r="AE540" s="24">
        <f t="shared" si="24"/>
        <v>778634.45</v>
      </c>
      <c r="AF540" s="24"/>
      <c r="AG540" s="24">
        <v>-98277.53</v>
      </c>
      <c r="AH540" s="24"/>
      <c r="AI540" s="24">
        <v>421302.77</v>
      </c>
      <c r="AJ540" s="24"/>
      <c r="AK540" s="24">
        <v>323025.24</v>
      </c>
      <c r="AL540" s="24">
        <f>+'Gov Rev'!AI540-'Gov Exp'!AE540+'Gov Exp'!AI540-'Gov Exp'!AK540</f>
        <v>0</v>
      </c>
      <c r="AM540" s="15" t="str">
        <f>'Gov Rev'!A540</f>
        <v>Powhatan Point</v>
      </c>
      <c r="AN540" s="15" t="str">
        <f t="shared" si="25"/>
        <v>Powhatan Point</v>
      </c>
      <c r="AO540" s="15" t="b">
        <f t="shared" si="26"/>
        <v>1</v>
      </c>
    </row>
    <row r="541" spans="1:41" ht="12" customHeight="1" x14ac:dyDescent="0.2">
      <c r="A541" s="1" t="s">
        <v>127</v>
      </c>
      <c r="B541" s="1"/>
      <c r="C541" s="1" t="s">
        <v>437</v>
      </c>
      <c r="D541" s="31"/>
      <c r="E541" s="24">
        <v>190724.97</v>
      </c>
      <c r="G541" s="24">
        <v>0</v>
      </c>
      <c r="I541" s="24">
        <v>229</v>
      </c>
      <c r="K541" s="24">
        <v>0</v>
      </c>
      <c r="M541" s="24">
        <v>0</v>
      </c>
      <c r="O541" s="24">
        <v>41578.49</v>
      </c>
      <c r="Q541" s="24">
        <v>88540.92</v>
      </c>
      <c r="S541" s="24">
        <v>0</v>
      </c>
      <c r="U541" s="24">
        <v>0</v>
      </c>
      <c r="W541" s="24">
        <v>0</v>
      </c>
      <c r="Y541" s="24">
        <v>0</v>
      </c>
      <c r="AA541" s="24">
        <v>0</v>
      </c>
      <c r="AC541" s="24">
        <v>4210.78</v>
      </c>
      <c r="AE541" s="24">
        <f t="shared" si="24"/>
        <v>325284.16000000003</v>
      </c>
      <c r="AF541" s="24"/>
      <c r="AG541" s="24">
        <v>-10288.6</v>
      </c>
      <c r="AH541" s="24"/>
      <c r="AI541" s="24">
        <v>20005.689999999999</v>
      </c>
      <c r="AJ541" s="24"/>
      <c r="AK541" s="24">
        <v>9717.09</v>
      </c>
      <c r="AL541" s="24">
        <f>+'Gov Rev'!AI541-'Gov Exp'!AE541+'Gov Exp'!AI541-'Gov Exp'!AK541</f>
        <v>-3.637978807091713E-11</v>
      </c>
      <c r="AM541" s="15" t="str">
        <f>'Gov Rev'!A541</f>
        <v>Proctorville</v>
      </c>
      <c r="AN541" s="15" t="str">
        <f t="shared" si="25"/>
        <v>Proctorville</v>
      </c>
      <c r="AO541" s="15" t="b">
        <f t="shared" si="26"/>
        <v>1</v>
      </c>
    </row>
    <row r="542" spans="1:41" s="31" customFormat="1" ht="12" customHeight="1" x14ac:dyDescent="0.2">
      <c r="A542" s="1" t="s">
        <v>150</v>
      </c>
      <c r="B542" s="1"/>
      <c r="C542" s="1" t="s">
        <v>780</v>
      </c>
      <c r="E542" s="24">
        <v>55575.22</v>
      </c>
      <c r="F542" s="24"/>
      <c r="G542" s="24">
        <v>2250</v>
      </c>
      <c r="H542" s="24"/>
      <c r="I542" s="24">
        <v>0</v>
      </c>
      <c r="J542" s="24"/>
      <c r="K542" s="24">
        <v>0</v>
      </c>
      <c r="L542" s="24"/>
      <c r="M542" s="24">
        <v>0</v>
      </c>
      <c r="N542" s="24"/>
      <c r="O542" s="24">
        <v>70555.87</v>
      </c>
      <c r="P542" s="24"/>
      <c r="Q542" s="24">
        <v>53336.82</v>
      </c>
      <c r="R542" s="24"/>
      <c r="S542" s="24">
        <v>0</v>
      </c>
      <c r="T542" s="24"/>
      <c r="U542" s="24">
        <v>0</v>
      </c>
      <c r="V542" s="24"/>
      <c r="W542" s="24">
        <v>0</v>
      </c>
      <c r="X542" s="24"/>
      <c r="Y542" s="24">
        <v>14700</v>
      </c>
      <c r="Z542" s="24"/>
      <c r="AA542" s="24">
        <v>0</v>
      </c>
      <c r="AB542" s="24"/>
      <c r="AC542" s="24">
        <v>0</v>
      </c>
      <c r="AD542" s="24"/>
      <c r="AE542" s="24">
        <f t="shared" si="24"/>
        <v>196417.91</v>
      </c>
      <c r="AF542" s="24"/>
      <c r="AG542" s="24">
        <v>20894.62</v>
      </c>
      <c r="AH542" s="24"/>
      <c r="AI542" s="24">
        <v>52462.17</v>
      </c>
      <c r="AJ542" s="24"/>
      <c r="AK542" s="24">
        <v>73356.789999999994</v>
      </c>
      <c r="AL542" s="24">
        <f>+'Gov Rev'!AI542-'Gov Exp'!AE542+'Gov Exp'!AI542-'Gov Exp'!AK542</f>
        <v>0</v>
      </c>
      <c r="AM542" s="15" t="str">
        <f>'Gov Rev'!A542</f>
        <v>Prospect</v>
      </c>
      <c r="AN542" s="15" t="str">
        <f t="shared" si="25"/>
        <v>Prospect</v>
      </c>
      <c r="AO542" s="15" t="b">
        <f t="shared" si="26"/>
        <v>1</v>
      </c>
    </row>
    <row r="543" spans="1:41" s="31" customFormat="1" ht="12" customHeight="1" x14ac:dyDescent="0.2">
      <c r="A543" s="1" t="s">
        <v>181</v>
      </c>
      <c r="B543" s="1"/>
      <c r="C543" s="1" t="s">
        <v>791</v>
      </c>
      <c r="E543" s="24">
        <v>571459.69999999995</v>
      </c>
      <c r="F543" s="24"/>
      <c r="G543" s="24">
        <v>8821.31</v>
      </c>
      <c r="H543" s="24"/>
      <c r="I543" s="24">
        <v>258944.43</v>
      </c>
      <c r="J543" s="24"/>
      <c r="K543" s="24">
        <v>5001.68</v>
      </c>
      <c r="L543" s="24"/>
      <c r="M543" s="24">
        <v>0</v>
      </c>
      <c r="N543" s="24"/>
      <c r="O543" s="24">
        <v>228176.43</v>
      </c>
      <c r="P543" s="24"/>
      <c r="Q543" s="24">
        <v>335870.22</v>
      </c>
      <c r="R543" s="24"/>
      <c r="S543" s="24">
        <v>1290709.95</v>
      </c>
      <c r="T543" s="24"/>
      <c r="U543" s="24">
        <v>0</v>
      </c>
      <c r="V543" s="24"/>
      <c r="W543" s="24">
        <v>125353.78</v>
      </c>
      <c r="X543" s="24"/>
      <c r="Y543" s="24">
        <v>6589.75</v>
      </c>
      <c r="Z543" s="24"/>
      <c r="AA543" s="24">
        <v>612763.67000000004</v>
      </c>
      <c r="AB543" s="24"/>
      <c r="AC543" s="24">
        <v>0</v>
      </c>
      <c r="AD543" s="24"/>
      <c r="AE543" s="24">
        <f t="shared" si="24"/>
        <v>3443690.9199999995</v>
      </c>
      <c r="AF543" s="24"/>
      <c r="AG543" s="24">
        <v>235044.55</v>
      </c>
      <c r="AH543" s="24"/>
      <c r="AI543" s="24">
        <v>969833.06</v>
      </c>
      <c r="AJ543" s="24"/>
      <c r="AK543" s="24">
        <v>1204877.6100000001</v>
      </c>
      <c r="AL543" s="24">
        <f>+'Gov Rev'!AI543-'Gov Exp'!AE543+'Gov Exp'!AI543-'Gov Exp'!AK543</f>
        <v>0</v>
      </c>
      <c r="AM543" s="15" t="str">
        <f>'Gov Rev'!A543</f>
        <v>Put-In-Bay</v>
      </c>
      <c r="AN543" s="15" t="str">
        <f t="shared" si="25"/>
        <v>Put-In-Bay</v>
      </c>
      <c r="AO543" s="15" t="b">
        <f t="shared" si="26"/>
        <v>1</v>
      </c>
    </row>
    <row r="544" spans="1:41" s="31" customFormat="1" ht="12" customHeight="1" x14ac:dyDescent="0.2">
      <c r="A544" s="1" t="s">
        <v>89</v>
      </c>
      <c r="B544" s="1"/>
      <c r="C544" s="1" t="s">
        <v>762</v>
      </c>
      <c r="E544" s="24">
        <v>45906.07</v>
      </c>
      <c r="F544" s="24"/>
      <c r="G544" s="24">
        <v>2825.28</v>
      </c>
      <c r="H544" s="24"/>
      <c r="I544" s="24">
        <v>6245.39</v>
      </c>
      <c r="J544" s="24"/>
      <c r="K544" s="24">
        <v>0</v>
      </c>
      <c r="L544" s="24"/>
      <c r="M544" s="24">
        <v>0</v>
      </c>
      <c r="N544" s="24"/>
      <c r="O544" s="24">
        <v>25473.68</v>
      </c>
      <c r="P544" s="24"/>
      <c r="Q544" s="24">
        <v>19702.43</v>
      </c>
      <c r="R544" s="24"/>
      <c r="S544" s="24">
        <v>35058.04</v>
      </c>
      <c r="T544" s="24"/>
      <c r="U544" s="24">
        <v>16784.13</v>
      </c>
      <c r="V544" s="24"/>
      <c r="W544" s="24">
        <v>3233.16</v>
      </c>
      <c r="X544" s="24"/>
      <c r="Y544" s="24">
        <v>0</v>
      </c>
      <c r="Z544" s="24"/>
      <c r="AA544" s="24">
        <v>0</v>
      </c>
      <c r="AB544" s="24"/>
      <c r="AC544" s="24">
        <v>0</v>
      </c>
      <c r="AD544" s="24"/>
      <c r="AE544" s="24">
        <f t="shared" si="24"/>
        <v>155228.18000000002</v>
      </c>
      <c r="AF544" s="24"/>
      <c r="AG544" s="24">
        <v>-9707.81</v>
      </c>
      <c r="AH544" s="24"/>
      <c r="AI544" s="24">
        <v>106834.18</v>
      </c>
      <c r="AJ544" s="24"/>
      <c r="AK544" s="24">
        <v>97126.37</v>
      </c>
      <c r="AL544" s="24">
        <f>+'Gov Rev'!AI544-'Gov Exp'!AE544+'Gov Exp'!AI544-'Gov Exp'!AK544</f>
        <v>0</v>
      </c>
      <c r="AM544" s="15" t="str">
        <f>'Gov Rev'!A544</f>
        <v>Quaker City</v>
      </c>
      <c r="AN544" s="15" t="str">
        <f t="shared" si="25"/>
        <v>Quaker City</v>
      </c>
      <c r="AO544" s="15" t="b">
        <f t="shared" si="26"/>
        <v>1</v>
      </c>
    </row>
    <row r="545" spans="1:41" ht="12" customHeight="1" x14ac:dyDescent="0.2">
      <c r="A545" s="1" t="s">
        <v>134</v>
      </c>
      <c r="B545" s="1"/>
      <c r="C545" s="1" t="s">
        <v>775</v>
      </c>
      <c r="D545" s="24"/>
      <c r="E545" s="24">
        <v>25076.87</v>
      </c>
      <c r="G545" s="24">
        <v>0</v>
      </c>
      <c r="I545" s="24">
        <v>20852.48</v>
      </c>
      <c r="K545" s="24">
        <v>0</v>
      </c>
      <c r="M545" s="24">
        <v>0</v>
      </c>
      <c r="O545" s="24">
        <v>30143.33</v>
      </c>
      <c r="Q545" s="24">
        <v>60004.62</v>
      </c>
      <c r="S545" s="24">
        <v>28082.79</v>
      </c>
      <c r="U545" s="24">
        <v>27114.51</v>
      </c>
      <c r="W545" s="24">
        <v>6566.02</v>
      </c>
      <c r="Y545" s="24">
        <v>0</v>
      </c>
      <c r="AA545" s="24">
        <v>0</v>
      </c>
      <c r="AC545" s="24">
        <v>0</v>
      </c>
      <c r="AE545" s="24">
        <f t="shared" si="24"/>
        <v>197840.62</v>
      </c>
      <c r="AF545" s="24"/>
      <c r="AG545" s="24">
        <v>23476.95</v>
      </c>
      <c r="AH545" s="24"/>
      <c r="AI545" s="24">
        <v>163466.89000000001</v>
      </c>
      <c r="AJ545" s="24"/>
      <c r="AK545" s="24">
        <v>186943.84</v>
      </c>
      <c r="AL545" s="24">
        <f>+'Gov Rev'!AI545-'Gov Exp'!AE545+'Gov Exp'!AI545-'Gov Exp'!AK545</f>
        <v>0</v>
      </c>
      <c r="AM545" s="15" t="str">
        <f>'Gov Rev'!A545</f>
        <v>Quincy</v>
      </c>
      <c r="AN545" s="15" t="str">
        <f t="shared" si="25"/>
        <v>Quincy</v>
      </c>
      <c r="AO545" s="15" t="b">
        <f t="shared" si="26"/>
        <v>1</v>
      </c>
    </row>
    <row r="546" spans="1:41" ht="12" customHeight="1" x14ac:dyDescent="0.2">
      <c r="A546" s="1" t="s">
        <v>158</v>
      </c>
      <c r="B546" s="1"/>
      <c r="C546" s="1" t="s">
        <v>782</v>
      </c>
      <c r="E546" s="24">
        <v>75749.59</v>
      </c>
      <c r="G546" s="24">
        <v>7722.59</v>
      </c>
      <c r="I546" s="24">
        <v>37043.42</v>
      </c>
      <c r="K546" s="24">
        <v>475.38</v>
      </c>
      <c r="M546" s="24">
        <v>6676.39</v>
      </c>
      <c r="O546" s="24">
        <v>52424.52</v>
      </c>
      <c r="Q546" s="24">
        <v>36026.31</v>
      </c>
      <c r="S546" s="24">
        <v>7014.42</v>
      </c>
      <c r="U546" s="24">
        <v>9406.16</v>
      </c>
      <c r="W546" s="24">
        <v>1517.15</v>
      </c>
      <c r="Y546" s="24">
        <v>0</v>
      </c>
      <c r="AA546" s="24">
        <v>0</v>
      </c>
      <c r="AC546" s="24">
        <v>0</v>
      </c>
      <c r="AE546" s="24">
        <f t="shared" si="24"/>
        <v>234055.93</v>
      </c>
      <c r="AF546" s="24"/>
      <c r="AG546" s="24">
        <v>11496.6</v>
      </c>
      <c r="AH546" s="24"/>
      <c r="AI546" s="24">
        <v>188830.05</v>
      </c>
      <c r="AJ546" s="24"/>
      <c r="AK546" s="24">
        <v>200326.65</v>
      </c>
      <c r="AL546" s="24">
        <f>+'Gov Rev'!AI546-'Gov Exp'!AE546+'Gov Exp'!AI546-'Gov Exp'!AK546</f>
        <v>0</v>
      </c>
      <c r="AM546" s="15" t="str">
        <f>'Gov Rev'!A546</f>
        <v>Racine</v>
      </c>
      <c r="AN546" s="15" t="str">
        <f t="shared" si="25"/>
        <v>Racine</v>
      </c>
      <c r="AO546" s="15" t="b">
        <f t="shared" si="26"/>
        <v>1</v>
      </c>
    </row>
    <row r="547" spans="1:41" ht="12" hidden="1" customHeight="1" x14ac:dyDescent="0.2">
      <c r="A547" s="1" t="s">
        <v>530</v>
      </c>
      <c r="B547" s="1"/>
      <c r="C547" s="1" t="s">
        <v>529</v>
      </c>
      <c r="AE547" s="24">
        <f t="shared" si="24"/>
        <v>0</v>
      </c>
      <c r="AF547" s="24"/>
      <c r="AG547" s="24"/>
      <c r="AH547" s="24"/>
      <c r="AI547" s="24"/>
      <c r="AJ547" s="24"/>
      <c r="AK547" s="24"/>
      <c r="AL547" s="24">
        <f>+'Gov Rev'!AI547-'Gov Exp'!AE547+'Gov Exp'!AI547-'Gov Exp'!AK547</f>
        <v>0</v>
      </c>
      <c r="AM547" s="15" t="str">
        <f>'Gov Rev'!A547</f>
        <v>Rarden</v>
      </c>
      <c r="AN547" s="15" t="str">
        <f t="shared" si="25"/>
        <v>Rarden</v>
      </c>
      <c r="AO547" s="15" t="b">
        <f t="shared" si="26"/>
        <v>1</v>
      </c>
    </row>
    <row r="548" spans="1:41" ht="12" customHeight="1" x14ac:dyDescent="0.2">
      <c r="A548" s="1" t="s">
        <v>392</v>
      </c>
      <c r="B548" s="1"/>
      <c r="C548" s="1" t="s">
        <v>388</v>
      </c>
      <c r="D548" s="31"/>
      <c r="E548" s="24">
        <v>37916.720000000001</v>
      </c>
      <c r="G548" s="24">
        <v>1748.56</v>
      </c>
      <c r="I548" s="24">
        <v>10615.31</v>
      </c>
      <c r="K548" s="24">
        <v>850.76</v>
      </c>
      <c r="M548" s="24">
        <v>301.66000000000003</v>
      </c>
      <c r="O548" s="24">
        <v>6186.15</v>
      </c>
      <c r="Q548" s="24">
        <v>40279.040000000001</v>
      </c>
      <c r="S548" s="24">
        <v>286564.34000000003</v>
      </c>
      <c r="U548" s="24">
        <v>56378.78</v>
      </c>
      <c r="W548" s="24">
        <v>86880.65</v>
      </c>
      <c r="Y548" s="24">
        <v>0</v>
      </c>
      <c r="AA548" s="24">
        <v>0</v>
      </c>
      <c r="AC548" s="24">
        <v>0</v>
      </c>
      <c r="AE548" s="24">
        <f t="shared" si="24"/>
        <v>527721.97000000009</v>
      </c>
      <c r="AF548" s="24"/>
      <c r="AG548" s="24">
        <v>-15656.27</v>
      </c>
      <c r="AH548" s="24"/>
      <c r="AI548" s="24">
        <v>568828.89</v>
      </c>
      <c r="AJ548" s="24"/>
      <c r="AK548" s="24">
        <v>553172.62</v>
      </c>
      <c r="AL548" s="24">
        <f>+'Gov Rev'!AI548-'Gov Exp'!AE548+'Gov Exp'!AI548-'Gov Exp'!AK548</f>
        <v>0</v>
      </c>
      <c r="AM548" s="15" t="str">
        <f>'Gov Rev'!A548</f>
        <v>Rawson</v>
      </c>
      <c r="AN548" s="15" t="str">
        <f t="shared" si="25"/>
        <v>Rawson</v>
      </c>
      <c r="AO548" s="15" t="b">
        <f t="shared" si="26"/>
        <v>1</v>
      </c>
    </row>
    <row r="549" spans="1:41" s="31" customFormat="1" ht="12" customHeight="1" x14ac:dyDescent="0.2">
      <c r="A549" s="15" t="s">
        <v>945</v>
      </c>
      <c r="B549" s="15"/>
      <c r="C549" s="15" t="s">
        <v>770</v>
      </c>
      <c r="D549" s="15"/>
      <c r="E549" s="24">
        <v>30539</v>
      </c>
      <c r="F549" s="24"/>
      <c r="G549" s="24">
        <v>650</v>
      </c>
      <c r="H549" s="24"/>
      <c r="I549" s="24">
        <v>4850</v>
      </c>
      <c r="J549" s="24"/>
      <c r="K549" s="24">
        <v>0</v>
      </c>
      <c r="L549" s="24"/>
      <c r="M549" s="24">
        <v>0</v>
      </c>
      <c r="N549" s="24"/>
      <c r="O549" s="24">
        <v>17914</v>
      </c>
      <c r="P549" s="24"/>
      <c r="Q549" s="24">
        <v>27502</v>
      </c>
      <c r="R549" s="24"/>
      <c r="S549" s="24">
        <v>0</v>
      </c>
      <c r="T549" s="24"/>
      <c r="U549" s="24">
        <v>4930</v>
      </c>
      <c r="V549" s="24"/>
      <c r="W549" s="24">
        <v>179</v>
      </c>
      <c r="X549" s="24"/>
      <c r="Y549" s="24">
        <v>0</v>
      </c>
      <c r="Z549" s="24"/>
      <c r="AA549" s="24">
        <v>0</v>
      </c>
      <c r="AB549" s="24"/>
      <c r="AC549" s="24">
        <v>0</v>
      </c>
      <c r="AD549" s="24"/>
      <c r="AE549" s="24">
        <f t="shared" si="24"/>
        <v>86564</v>
      </c>
      <c r="AF549" s="24"/>
      <c r="AG549" s="24">
        <v>-313</v>
      </c>
      <c r="AH549" s="24"/>
      <c r="AI549" s="24">
        <v>26894</v>
      </c>
      <c r="AJ549" s="24"/>
      <c r="AK549" s="24">
        <v>26581</v>
      </c>
      <c r="AL549" s="24">
        <f>+'Gov Rev'!AI549-'Gov Exp'!AE549+'Gov Exp'!AI549-'Gov Exp'!AK549</f>
        <v>0</v>
      </c>
      <c r="AM549" s="15" t="str">
        <f>'Gov Rev'!A549</f>
        <v>Rayland</v>
      </c>
      <c r="AN549" s="15" t="str">
        <f t="shared" si="25"/>
        <v>Rayland</v>
      </c>
      <c r="AO549" s="15" t="b">
        <f t="shared" si="26"/>
        <v>1</v>
      </c>
    </row>
    <row r="550" spans="1:41" ht="12" customHeight="1" x14ac:dyDescent="0.2">
      <c r="A550" s="1" t="s">
        <v>228</v>
      </c>
      <c r="B550" s="1"/>
      <c r="C550" s="1" t="s">
        <v>549</v>
      </c>
      <c r="D550" s="31"/>
      <c r="E550" s="24">
        <v>1554157.61</v>
      </c>
      <c r="G550" s="24">
        <v>1100</v>
      </c>
      <c r="I550" s="24">
        <v>9604.1299999999992</v>
      </c>
      <c r="K550" s="24">
        <v>173183.7</v>
      </c>
      <c r="M550" s="24">
        <v>0</v>
      </c>
      <c r="O550" s="24">
        <v>799443.13</v>
      </c>
      <c r="Q550" s="24">
        <v>406376.49</v>
      </c>
      <c r="S550" s="24">
        <v>640133.04</v>
      </c>
      <c r="U550" s="24">
        <v>86541.06</v>
      </c>
      <c r="W550" s="24">
        <v>62825.05</v>
      </c>
      <c r="Y550" s="24">
        <v>303708.21000000002</v>
      </c>
      <c r="AA550" s="24">
        <v>347803.95</v>
      </c>
      <c r="AC550" s="24">
        <v>1549.88</v>
      </c>
      <c r="AE550" s="24">
        <f t="shared" si="24"/>
        <v>4386426.2499999991</v>
      </c>
      <c r="AF550" s="24"/>
      <c r="AG550" s="24">
        <v>-144977.65</v>
      </c>
      <c r="AH550" s="24"/>
      <c r="AI550" s="24">
        <v>1366492.92</v>
      </c>
      <c r="AJ550" s="24"/>
      <c r="AK550" s="24">
        <v>1221515.27</v>
      </c>
      <c r="AL550" s="24">
        <f>+'Gov Rev'!AI550-'Gov Exp'!AE550+'Gov Exp'!AI550-'Gov Exp'!AK550</f>
        <v>0</v>
      </c>
      <c r="AM550" s="15" t="str">
        <f>'Gov Rev'!A550</f>
        <v>Reminderville</v>
      </c>
      <c r="AN550" s="15" t="str">
        <f t="shared" si="25"/>
        <v>Reminderville</v>
      </c>
      <c r="AO550" s="15" t="b">
        <f t="shared" si="26"/>
        <v>1</v>
      </c>
    </row>
    <row r="551" spans="1:41" ht="12" customHeight="1" x14ac:dyDescent="0.2">
      <c r="A551" s="1" t="s">
        <v>969</v>
      </c>
      <c r="B551" s="1"/>
      <c r="C551" s="1" t="s">
        <v>500</v>
      </c>
      <c r="D551" s="31"/>
      <c r="E551" s="24">
        <v>2141.5700000000002</v>
      </c>
      <c r="G551" s="24">
        <v>0</v>
      </c>
      <c r="I551" s="24">
        <v>0</v>
      </c>
      <c r="K551" s="24">
        <v>0</v>
      </c>
      <c r="M551" s="24">
        <v>0</v>
      </c>
      <c r="O551" s="24">
        <v>2303.9699999999998</v>
      </c>
      <c r="Q551" s="24">
        <v>16659.62</v>
      </c>
      <c r="S551" s="24">
        <v>0</v>
      </c>
      <c r="U551" s="24">
        <v>0</v>
      </c>
      <c r="W551" s="24">
        <v>0</v>
      </c>
      <c r="Y551" s="24">
        <v>0</v>
      </c>
      <c r="AA551" s="24">
        <v>0</v>
      </c>
      <c r="AC551" s="24">
        <v>0</v>
      </c>
      <c r="AE551" s="24">
        <f t="shared" si="24"/>
        <v>21105.16</v>
      </c>
      <c r="AF551" s="24"/>
      <c r="AG551" s="24">
        <v>-2664.73</v>
      </c>
      <c r="AH551" s="24"/>
      <c r="AI551" s="24">
        <v>8355.0400000000009</v>
      </c>
      <c r="AJ551" s="24"/>
      <c r="AK551" s="24">
        <v>5690.31</v>
      </c>
      <c r="AL551" s="24">
        <f>+'Gov Rev'!AI551-'Gov Exp'!AE551+'Gov Exp'!AI551-'Gov Exp'!AK551</f>
        <v>0</v>
      </c>
      <c r="AM551" s="15" t="str">
        <f>'Gov Rev'!A551</f>
        <v>Rendville</v>
      </c>
      <c r="AN551" s="15" t="str">
        <f t="shared" si="25"/>
        <v>Rendville</v>
      </c>
      <c r="AO551" s="15" t="b">
        <f t="shared" si="26"/>
        <v>1</v>
      </c>
    </row>
    <row r="552" spans="1:41" s="31" customFormat="1" ht="12" customHeight="1" x14ac:dyDescent="0.2">
      <c r="A552" s="1" t="s">
        <v>534</v>
      </c>
      <c r="B552" s="1"/>
      <c r="C552" s="1" t="s">
        <v>532</v>
      </c>
      <c r="E552" s="24">
        <v>62474.99</v>
      </c>
      <c r="F552" s="24"/>
      <c r="G552" s="24">
        <v>0</v>
      </c>
      <c r="H552" s="24"/>
      <c r="I552" s="24">
        <v>0</v>
      </c>
      <c r="J552" s="24"/>
      <c r="K552" s="24">
        <v>481.55</v>
      </c>
      <c r="L552" s="24"/>
      <c r="M552" s="24">
        <v>0</v>
      </c>
      <c r="N552" s="24"/>
      <c r="O552" s="24">
        <v>11611.93</v>
      </c>
      <c r="P552" s="24"/>
      <c r="Q552" s="24">
        <v>33540.06</v>
      </c>
      <c r="R552" s="24"/>
      <c r="S552" s="24">
        <v>0</v>
      </c>
      <c r="T552" s="24"/>
      <c r="U552" s="24">
        <v>0</v>
      </c>
      <c r="V552" s="24"/>
      <c r="W552" s="24">
        <v>0</v>
      </c>
      <c r="X552" s="24"/>
      <c r="Y552" s="24">
        <v>34316.68</v>
      </c>
      <c r="Z552" s="24"/>
      <c r="AA552" s="24">
        <v>0</v>
      </c>
      <c r="AB552" s="24"/>
      <c r="AC552" s="24">
        <v>0</v>
      </c>
      <c r="AD552" s="24"/>
      <c r="AE552" s="24">
        <f t="shared" si="24"/>
        <v>142425.21</v>
      </c>
      <c r="AF552" s="24"/>
      <c r="AG552" s="24">
        <v>-398.63</v>
      </c>
      <c r="AH552" s="24"/>
      <c r="AI552" s="24">
        <v>88752.04</v>
      </c>
      <c r="AJ552" s="24"/>
      <c r="AK552" s="24">
        <v>88353.41</v>
      </c>
      <c r="AL552" s="24">
        <f>+'Gov Rev'!AI552-'Gov Exp'!AE552+'Gov Exp'!AI552-'Gov Exp'!AK552</f>
        <v>0</v>
      </c>
      <c r="AM552" s="15" t="str">
        <f>'Gov Rev'!A552</f>
        <v>Republic</v>
      </c>
      <c r="AN552" s="15" t="str">
        <f t="shared" si="25"/>
        <v>Republic</v>
      </c>
      <c r="AO552" s="15" t="b">
        <f t="shared" si="26"/>
        <v>1</v>
      </c>
    </row>
    <row r="553" spans="1:41" s="31" customFormat="1" ht="12" customHeight="1" x14ac:dyDescent="0.2">
      <c r="A553" s="15" t="s">
        <v>553</v>
      </c>
      <c r="B553" s="15"/>
      <c r="C553" s="15" t="s">
        <v>549</v>
      </c>
      <c r="D553" s="15"/>
      <c r="E553" s="24">
        <v>4288184</v>
      </c>
      <c r="F553" s="24"/>
      <c r="G553" s="24">
        <v>72869</v>
      </c>
      <c r="H553" s="24"/>
      <c r="I553" s="24">
        <v>281687</v>
      </c>
      <c r="J553" s="24"/>
      <c r="K553" s="24">
        <v>172404</v>
      </c>
      <c r="L553" s="24"/>
      <c r="M553" s="24">
        <v>258218</v>
      </c>
      <c r="N553" s="24"/>
      <c r="O553" s="24">
        <v>1780152</v>
      </c>
      <c r="P553" s="24"/>
      <c r="Q553" s="24">
        <v>1165777</v>
      </c>
      <c r="R553" s="24"/>
      <c r="S553" s="24">
        <v>1546626</v>
      </c>
      <c r="T553" s="24"/>
      <c r="U553" s="24">
        <v>1518699</v>
      </c>
      <c r="V553" s="24"/>
      <c r="W553" s="24">
        <v>295628</v>
      </c>
      <c r="X553" s="24"/>
      <c r="Y553" s="24">
        <v>6313527</v>
      </c>
      <c r="Z553" s="24"/>
      <c r="AA553" s="24">
        <v>165000</v>
      </c>
      <c r="AB553" s="24"/>
      <c r="AC553" s="24">
        <v>119002</v>
      </c>
      <c r="AD553" s="24"/>
      <c r="AE553" s="24">
        <f t="shared" si="24"/>
        <v>17977773</v>
      </c>
      <c r="AF553" s="24"/>
      <c r="AG553" s="24">
        <v>373289</v>
      </c>
      <c r="AH553" s="24"/>
      <c r="AI553" s="24">
        <v>5898017</v>
      </c>
      <c r="AJ553" s="24"/>
      <c r="AK553" s="24">
        <v>6271306</v>
      </c>
      <c r="AL553" s="24">
        <f>+'Gov Rev'!AI553-'Gov Exp'!AE553+'Gov Exp'!AI553-'Gov Exp'!AK553</f>
        <v>0</v>
      </c>
      <c r="AM553" s="15" t="str">
        <f>'Gov Rev'!A553</f>
        <v>Richfield</v>
      </c>
      <c r="AN553" s="15" t="str">
        <f t="shared" si="25"/>
        <v>Richfield</v>
      </c>
      <c r="AO553" s="15" t="b">
        <f t="shared" si="26"/>
        <v>1</v>
      </c>
    </row>
    <row r="554" spans="1:41" ht="12" customHeight="1" x14ac:dyDescent="0.2">
      <c r="A554" s="1" t="s">
        <v>119</v>
      </c>
      <c r="B554" s="1"/>
      <c r="C554" s="1" t="s">
        <v>770</v>
      </c>
      <c r="E554" s="24">
        <v>57458.99</v>
      </c>
      <c r="G554" s="24">
        <v>0</v>
      </c>
      <c r="I554" s="24">
        <v>13100.48</v>
      </c>
      <c r="K554" s="24">
        <v>1000</v>
      </c>
      <c r="M554" s="24">
        <v>0</v>
      </c>
      <c r="O554" s="24">
        <v>48915.11</v>
      </c>
      <c r="Q554" s="24">
        <v>34562.14</v>
      </c>
      <c r="S554" s="24">
        <v>0</v>
      </c>
      <c r="U554" s="24">
        <v>5894.14</v>
      </c>
      <c r="W554" s="24">
        <v>0</v>
      </c>
      <c r="Y554" s="24">
        <v>42222.45</v>
      </c>
      <c r="AA554" s="24">
        <v>0</v>
      </c>
      <c r="AC554" s="24">
        <v>6192.55</v>
      </c>
      <c r="AE554" s="24">
        <f t="shared" si="24"/>
        <v>209345.86</v>
      </c>
      <c r="AF554" s="24"/>
      <c r="AG554" s="24">
        <v>-79075.69</v>
      </c>
      <c r="AH554" s="24"/>
      <c r="AI554" s="24">
        <v>156534.09</v>
      </c>
      <c r="AJ554" s="24"/>
      <c r="AK554" s="24">
        <v>77458.399999999994</v>
      </c>
      <c r="AL554" s="24">
        <f>+'Gov Rev'!AI554-'Gov Exp'!AE554+'Gov Exp'!AI554-'Gov Exp'!AK554</f>
        <v>0</v>
      </c>
      <c r="AM554" s="15" t="str">
        <f>'Gov Rev'!A554</f>
        <v>Richmond</v>
      </c>
      <c r="AN554" s="15" t="str">
        <f t="shared" si="25"/>
        <v>Richmond</v>
      </c>
      <c r="AO554" s="15" t="b">
        <f t="shared" si="26"/>
        <v>1</v>
      </c>
    </row>
    <row r="555" spans="1:41" ht="12" customHeight="1" x14ac:dyDescent="0.2">
      <c r="A555" s="15" t="s">
        <v>238</v>
      </c>
      <c r="C555" s="15" t="s">
        <v>807</v>
      </c>
      <c r="D555" s="28"/>
      <c r="E555" s="24">
        <v>555395</v>
      </c>
      <c r="G555" s="24">
        <v>0</v>
      </c>
      <c r="I555" s="24">
        <v>17119</v>
      </c>
      <c r="K555" s="24">
        <v>0</v>
      </c>
      <c r="M555" s="24">
        <v>0</v>
      </c>
      <c r="O555" s="24">
        <v>92995</v>
      </c>
      <c r="Q555" s="24">
        <v>93011</v>
      </c>
      <c r="S555" s="24">
        <v>5079</v>
      </c>
      <c r="U555" s="24">
        <v>0</v>
      </c>
      <c r="W555" s="24">
        <v>0</v>
      </c>
      <c r="Y555" s="24">
        <v>0</v>
      </c>
      <c r="AA555" s="24">
        <v>0</v>
      </c>
      <c r="AC555" s="24">
        <v>0</v>
      </c>
      <c r="AE555" s="24">
        <f t="shared" si="24"/>
        <v>763599</v>
      </c>
      <c r="AF555" s="24"/>
      <c r="AG555" s="24">
        <v>54943</v>
      </c>
      <c r="AH555" s="24"/>
      <c r="AI555" s="24">
        <v>890330</v>
      </c>
      <c r="AJ555" s="24"/>
      <c r="AK555" s="24">
        <v>945274</v>
      </c>
      <c r="AL555" s="24">
        <f>+'Gov Rev'!AI555-'Gov Exp'!AE555+'Gov Exp'!AI555-'Gov Exp'!AK555</f>
        <v>0</v>
      </c>
      <c r="AM555" s="15" t="str">
        <f>'Gov Rev'!A555</f>
        <v>Richwood</v>
      </c>
      <c r="AN555" s="15" t="str">
        <f t="shared" si="25"/>
        <v>Richwood</v>
      </c>
      <c r="AO555" s="15" t="b">
        <f t="shared" si="26"/>
        <v>1</v>
      </c>
    </row>
    <row r="556" spans="1:41" ht="12" customHeight="1" x14ac:dyDescent="0.2">
      <c r="A556" s="10" t="s">
        <v>401</v>
      </c>
      <c r="B556" s="10"/>
      <c r="C556" s="10" t="s">
        <v>396</v>
      </c>
      <c r="D556" s="31"/>
      <c r="E556" s="24">
        <v>25397.55</v>
      </c>
      <c r="G556" s="24">
        <v>5205</v>
      </c>
      <c r="I556" s="24">
        <v>0</v>
      </c>
      <c r="K556" s="24">
        <v>0</v>
      </c>
      <c r="M556" s="24">
        <v>1652.81</v>
      </c>
      <c r="O556" s="24">
        <v>26606.65</v>
      </c>
      <c r="Q556" s="24">
        <v>22590.560000000001</v>
      </c>
      <c r="S556" s="24">
        <v>0</v>
      </c>
      <c r="U556" s="24">
        <v>0</v>
      </c>
      <c r="W556" s="24">
        <v>3389.23</v>
      </c>
      <c r="Y556" s="24">
        <v>1500</v>
      </c>
      <c r="AA556" s="24">
        <v>0</v>
      </c>
      <c r="AC556" s="24">
        <v>0</v>
      </c>
      <c r="AE556" s="24">
        <f t="shared" si="24"/>
        <v>86341.8</v>
      </c>
      <c r="AF556" s="24"/>
      <c r="AG556" s="24">
        <v>-12878.42</v>
      </c>
      <c r="AH556" s="24"/>
      <c r="AI556" s="24">
        <v>126401.17</v>
      </c>
      <c r="AJ556" s="24"/>
      <c r="AK556" s="24">
        <v>113522.75</v>
      </c>
      <c r="AL556" s="24">
        <f>+'Gov Rev'!AI556-'Gov Exp'!AE556+'Gov Exp'!AI556-'Gov Exp'!AK556</f>
        <v>0</v>
      </c>
      <c r="AM556" s="15" t="str">
        <f>'Gov Rev'!A556</f>
        <v>Ridgeway</v>
      </c>
      <c r="AN556" s="15" t="str">
        <f t="shared" si="25"/>
        <v>Ridgeway</v>
      </c>
      <c r="AO556" s="15" t="b">
        <f t="shared" si="26"/>
        <v>1</v>
      </c>
    </row>
    <row r="557" spans="1:41" ht="12" customHeight="1" x14ac:dyDescent="0.2">
      <c r="A557" s="1" t="s">
        <v>81</v>
      </c>
      <c r="B557" s="1"/>
      <c r="C557" s="1" t="s">
        <v>760</v>
      </c>
      <c r="D557" s="31"/>
      <c r="E557" s="24">
        <v>193903.21</v>
      </c>
      <c r="G557" s="24">
        <v>0</v>
      </c>
      <c r="I557" s="24">
        <v>2318.69</v>
      </c>
      <c r="K557" s="24">
        <v>687.95</v>
      </c>
      <c r="M557" s="24">
        <v>0</v>
      </c>
      <c r="O557" s="24">
        <v>45269.71</v>
      </c>
      <c r="Q557" s="24">
        <v>98830.14</v>
      </c>
      <c r="S557" s="24">
        <v>13216.69</v>
      </c>
      <c r="U557" s="24">
        <v>10581.61</v>
      </c>
      <c r="W557" s="24">
        <v>539.05999999999995</v>
      </c>
      <c r="Y557" s="24">
        <v>0</v>
      </c>
      <c r="AA557" s="24">
        <v>0</v>
      </c>
      <c r="AC557" s="24">
        <v>0</v>
      </c>
      <c r="AE557" s="24">
        <f t="shared" si="24"/>
        <v>365347.06</v>
      </c>
      <c r="AF557" s="24"/>
      <c r="AG557" s="24">
        <v>-1986.44</v>
      </c>
      <c r="AH557" s="24"/>
      <c r="AI557" s="24">
        <v>84449.14</v>
      </c>
      <c r="AJ557" s="24"/>
      <c r="AK557" s="24">
        <v>82462.7</v>
      </c>
      <c r="AL557" s="24">
        <f>+'Gov Rev'!AI557-'Gov Exp'!AE557+'Gov Exp'!AI557-'Gov Exp'!AK557</f>
        <v>0</v>
      </c>
      <c r="AM557" s="15" t="str">
        <f>'Gov Rev'!A557</f>
        <v>Rio Grande</v>
      </c>
      <c r="AN557" s="15" t="str">
        <f t="shared" si="25"/>
        <v>Rio Grande</v>
      </c>
      <c r="AO557" s="15" t="b">
        <f t="shared" si="26"/>
        <v>1</v>
      </c>
    </row>
    <row r="558" spans="1:41" ht="12" customHeight="1" x14ac:dyDescent="0.2">
      <c r="A558" s="1" t="s">
        <v>284</v>
      </c>
      <c r="B558" s="1"/>
      <c r="C558" s="1" t="s">
        <v>283</v>
      </c>
      <c r="D558" s="31"/>
      <c r="E558" s="24">
        <v>394881.73</v>
      </c>
      <c r="G558" s="24">
        <v>19728.55</v>
      </c>
      <c r="I558" s="24">
        <v>0</v>
      </c>
      <c r="K558" s="24">
        <v>0</v>
      </c>
      <c r="M558" s="24">
        <v>0</v>
      </c>
      <c r="O558" s="24">
        <v>206260.99</v>
      </c>
      <c r="Q558" s="24">
        <v>100333.46</v>
      </c>
      <c r="S558" s="24">
        <v>101965.86</v>
      </c>
      <c r="U558" s="24">
        <v>0</v>
      </c>
      <c r="W558" s="24">
        <v>0</v>
      </c>
      <c r="Y558" s="24">
        <v>57.49</v>
      </c>
      <c r="AA558" s="24">
        <v>0</v>
      </c>
      <c r="AC558" s="24">
        <v>0</v>
      </c>
      <c r="AE558" s="24">
        <f t="shared" si="24"/>
        <v>823228.08</v>
      </c>
      <c r="AF558" s="24"/>
      <c r="AG558" s="24">
        <v>-78636.12</v>
      </c>
      <c r="AH558" s="24"/>
      <c r="AI558" s="24">
        <v>616202.44999999995</v>
      </c>
      <c r="AJ558" s="24"/>
      <c r="AK558" s="24">
        <v>537566.32999999996</v>
      </c>
      <c r="AL558" s="24">
        <f>+'Gov Rev'!AI558-'Gov Exp'!AE558+'Gov Exp'!AI558-'Gov Exp'!AK558</f>
        <v>0</v>
      </c>
      <c r="AM558" s="15" t="str">
        <f>'Gov Rev'!A558</f>
        <v>Ripley</v>
      </c>
      <c r="AN558" s="15" t="str">
        <f t="shared" si="25"/>
        <v>Ripley</v>
      </c>
      <c r="AO558" s="15" t="b">
        <f t="shared" si="26"/>
        <v>1</v>
      </c>
    </row>
    <row r="559" spans="1:41" ht="12" customHeight="1" x14ac:dyDescent="0.2">
      <c r="A559" s="1" t="s">
        <v>260</v>
      </c>
      <c r="B559" s="1"/>
      <c r="C559" s="1" t="s">
        <v>813</v>
      </c>
      <c r="D559" s="31"/>
      <c r="E559" s="24">
        <v>83499.73</v>
      </c>
      <c r="G559" s="24">
        <v>303</v>
      </c>
      <c r="I559" s="24">
        <v>5611.41</v>
      </c>
      <c r="K559" s="24">
        <v>114.89</v>
      </c>
      <c r="M559" s="24">
        <v>2366.56</v>
      </c>
      <c r="O559" s="24">
        <v>38254.089999999997</v>
      </c>
      <c r="Q559" s="24">
        <v>41076.449999999997</v>
      </c>
      <c r="S559" s="24">
        <v>70859.23</v>
      </c>
      <c r="U559" s="24">
        <v>5817.13</v>
      </c>
      <c r="W559" s="24">
        <v>2714.27</v>
      </c>
      <c r="Y559" s="24">
        <v>16230</v>
      </c>
      <c r="AA559" s="24">
        <v>0</v>
      </c>
      <c r="AC559" s="24">
        <v>3309.69</v>
      </c>
      <c r="AE559" s="24">
        <f t="shared" si="24"/>
        <v>270156.45</v>
      </c>
      <c r="AF559" s="24"/>
      <c r="AG559" s="24">
        <v>16675.93</v>
      </c>
      <c r="AH559" s="24"/>
      <c r="AI559" s="24">
        <v>248125.12</v>
      </c>
      <c r="AJ559" s="24"/>
      <c r="AK559" s="24">
        <v>264801.05</v>
      </c>
      <c r="AL559" s="24">
        <f>+'Gov Rev'!AI559-'Gov Exp'!AE559+'Gov Exp'!AI559-'Gov Exp'!AK559</f>
        <v>0</v>
      </c>
      <c r="AM559" s="15" t="str">
        <f>'Gov Rev'!A559</f>
        <v>Risingsun</v>
      </c>
      <c r="AN559" s="15" t="str">
        <f t="shared" si="25"/>
        <v>Risingsun</v>
      </c>
      <c r="AO559" s="15" t="b">
        <f t="shared" si="26"/>
        <v>1</v>
      </c>
    </row>
    <row r="560" spans="1:41" s="24" customFormat="1" ht="12" customHeight="1" x14ac:dyDescent="0.2">
      <c r="A560" s="15" t="s">
        <v>356</v>
      </c>
      <c r="B560" s="15"/>
      <c r="C560" s="15" t="s">
        <v>353</v>
      </c>
      <c r="D560" s="15"/>
      <c r="E560" s="24">
        <v>65008</v>
      </c>
      <c r="G560" s="24">
        <v>4814</v>
      </c>
      <c r="I560" s="24">
        <v>5147</v>
      </c>
      <c r="K560" s="24">
        <v>3698</v>
      </c>
      <c r="M560" s="24">
        <v>120854</v>
      </c>
      <c r="O560" s="24">
        <v>7205</v>
      </c>
      <c r="Q560" s="24">
        <v>51837</v>
      </c>
      <c r="S560" s="24">
        <v>0</v>
      </c>
      <c r="U560" s="24">
        <v>0</v>
      </c>
      <c r="W560" s="24">
        <v>0</v>
      </c>
      <c r="Y560" s="24">
        <v>0</v>
      </c>
      <c r="AA560" s="24">
        <v>0</v>
      </c>
      <c r="AC560" s="24">
        <v>0</v>
      </c>
      <c r="AE560" s="24">
        <f t="shared" si="24"/>
        <v>258563</v>
      </c>
      <c r="AG560" s="24">
        <v>17335</v>
      </c>
      <c r="AI560" s="24">
        <v>447292</v>
      </c>
      <c r="AK560" s="24">
        <v>464627</v>
      </c>
      <c r="AL560" s="24">
        <f>+'Gov Rev'!AI560-'Gov Exp'!AE560+'Gov Exp'!AI560-'Gov Exp'!AK560</f>
        <v>0</v>
      </c>
      <c r="AM560" s="15" t="str">
        <f>'Gov Rev'!A560</f>
        <v>Riverlea</v>
      </c>
      <c r="AN560" s="15" t="str">
        <f t="shared" si="25"/>
        <v>Riverlea</v>
      </c>
      <c r="AO560" s="15" t="b">
        <f t="shared" si="26"/>
        <v>1</v>
      </c>
    </row>
    <row r="561" spans="1:41" ht="12" customHeight="1" x14ac:dyDescent="0.2">
      <c r="A561" s="15" t="s">
        <v>670</v>
      </c>
      <c r="C561" s="15" t="s">
        <v>671</v>
      </c>
      <c r="D561" s="28"/>
      <c r="E561" s="24">
        <v>198038</v>
      </c>
      <c r="G561" s="24">
        <v>30000</v>
      </c>
      <c r="I561" s="24">
        <v>0</v>
      </c>
      <c r="K561" s="24">
        <v>7362</v>
      </c>
      <c r="M561" s="24">
        <v>0</v>
      </c>
      <c r="O561" s="24">
        <v>49350</v>
      </c>
      <c r="Q561" s="24">
        <v>86586</v>
      </c>
      <c r="S561" s="24">
        <v>0</v>
      </c>
      <c r="U561" s="24">
        <v>114079</v>
      </c>
      <c r="W561" s="24">
        <v>54035</v>
      </c>
      <c r="Y561" s="24">
        <v>80000</v>
      </c>
      <c r="AA561" s="24">
        <v>0</v>
      </c>
      <c r="AC561" s="24">
        <v>4695</v>
      </c>
      <c r="AE561" s="24">
        <f t="shared" si="24"/>
        <v>624145</v>
      </c>
      <c r="AF561" s="24"/>
      <c r="AG561" s="24">
        <v>-33473</v>
      </c>
      <c r="AH561" s="24"/>
      <c r="AI561" s="24">
        <v>564553</v>
      </c>
      <c r="AJ561" s="24"/>
      <c r="AK561" s="24">
        <v>531080</v>
      </c>
      <c r="AL561" s="24">
        <f>+'Gov Rev'!AI561-'Gov Exp'!AE561+'Gov Exp'!AI561-'Gov Exp'!AK561</f>
        <v>0</v>
      </c>
      <c r="AM561" s="15" t="str">
        <f>'Gov Rev'!A561</f>
        <v>Roaming Shores</v>
      </c>
      <c r="AN561" s="15" t="str">
        <f t="shared" si="25"/>
        <v>Roaming Shores</v>
      </c>
      <c r="AO561" s="15" t="b">
        <f t="shared" si="26"/>
        <v>1</v>
      </c>
    </row>
    <row r="562" spans="1:41" ht="12" customHeight="1" x14ac:dyDescent="0.2">
      <c r="A562" s="1" t="s">
        <v>138</v>
      </c>
      <c r="B562" s="1"/>
      <c r="C562" s="1" t="s">
        <v>776</v>
      </c>
      <c r="E562" s="24">
        <v>0</v>
      </c>
      <c r="G562" s="24">
        <v>357.84</v>
      </c>
      <c r="I562" s="24">
        <v>12892.98</v>
      </c>
      <c r="K562" s="24">
        <v>1018.53</v>
      </c>
      <c r="M562" s="24">
        <v>401</v>
      </c>
      <c r="O562" s="24">
        <v>25600.01</v>
      </c>
      <c r="Q562" s="24">
        <v>18361.240000000002</v>
      </c>
      <c r="S562" s="24">
        <v>0</v>
      </c>
      <c r="U562" s="24">
        <v>0</v>
      </c>
      <c r="W562" s="24">
        <v>0</v>
      </c>
      <c r="Y562" s="24">
        <v>0</v>
      </c>
      <c r="AA562" s="24">
        <v>0</v>
      </c>
      <c r="AC562" s="24">
        <v>0</v>
      </c>
      <c r="AE562" s="24">
        <f t="shared" si="24"/>
        <v>58631.600000000006</v>
      </c>
      <c r="AF562" s="24"/>
      <c r="AG562" s="24">
        <v>-7619.52</v>
      </c>
      <c r="AH562" s="24"/>
      <c r="AI562" s="24">
        <v>315537.03000000003</v>
      </c>
      <c r="AJ562" s="24"/>
      <c r="AK562" s="24">
        <v>307917.51</v>
      </c>
      <c r="AL562" s="24">
        <f>+'Gov Rev'!AI562-'Gov Exp'!AE562+'Gov Exp'!AI562-'Gov Exp'!AK562</f>
        <v>0</v>
      </c>
      <c r="AM562" s="15" t="str">
        <f>'Gov Rev'!A562</f>
        <v>Rochester</v>
      </c>
      <c r="AN562" s="15" t="str">
        <f t="shared" si="25"/>
        <v>Rochester</v>
      </c>
      <c r="AO562" s="15" t="b">
        <f t="shared" si="26"/>
        <v>1</v>
      </c>
    </row>
    <row r="563" spans="1:41" ht="12" customHeight="1" x14ac:dyDescent="0.2">
      <c r="A563" s="1" t="s">
        <v>672</v>
      </c>
      <c r="B563" s="1"/>
      <c r="C563" s="1" t="s">
        <v>671</v>
      </c>
      <c r="D563" s="31"/>
      <c r="E563" s="24">
        <v>33869.01</v>
      </c>
      <c r="G563" s="24">
        <v>3232.34</v>
      </c>
      <c r="I563" s="24">
        <v>0</v>
      </c>
      <c r="K563" s="24">
        <v>0</v>
      </c>
      <c r="M563" s="24">
        <v>1676.06</v>
      </c>
      <c r="O563" s="24">
        <v>34196.58</v>
      </c>
      <c r="Q563" s="24">
        <v>98544.66</v>
      </c>
      <c r="S563" s="24">
        <v>0</v>
      </c>
      <c r="U563" s="24">
        <v>10225.280000000001</v>
      </c>
      <c r="W563" s="24">
        <v>0</v>
      </c>
      <c r="Y563" s="24">
        <v>0</v>
      </c>
      <c r="AA563" s="24">
        <v>0</v>
      </c>
      <c r="AC563" s="24">
        <v>0</v>
      </c>
      <c r="AE563" s="24">
        <f t="shared" si="24"/>
        <v>181743.93000000002</v>
      </c>
      <c r="AF563" s="24"/>
      <c r="AG563" s="24">
        <v>14004</v>
      </c>
      <c r="AH563" s="24"/>
      <c r="AI563" s="24">
        <v>151798.45000000001</v>
      </c>
      <c r="AJ563" s="24"/>
      <c r="AK563" s="24">
        <v>165802.45000000001</v>
      </c>
      <c r="AL563" s="24">
        <f>+'Gov Rev'!AI563-'Gov Exp'!AE563+'Gov Exp'!AI563-'Gov Exp'!AK563</f>
        <v>0</v>
      </c>
      <c r="AM563" s="15" t="str">
        <f>'Gov Rev'!A563</f>
        <v>Rock Creek</v>
      </c>
      <c r="AN563" s="15" t="str">
        <f t="shared" si="25"/>
        <v>Rock Creek</v>
      </c>
      <c r="AO563" s="15" t="b">
        <f t="shared" si="26"/>
        <v>1</v>
      </c>
    </row>
    <row r="564" spans="1:41" ht="12" customHeight="1" x14ac:dyDescent="0.2">
      <c r="A564" s="1" t="s">
        <v>468</v>
      </c>
      <c r="B564" s="1"/>
      <c r="C564" s="1" t="s">
        <v>466</v>
      </c>
      <c r="D564" s="31"/>
      <c r="E564" s="24">
        <v>218141.67</v>
      </c>
      <c r="G564" s="24">
        <v>0</v>
      </c>
      <c r="I564" s="24">
        <v>7198.91</v>
      </c>
      <c r="K564" s="24">
        <v>7241.42</v>
      </c>
      <c r="M564" s="24">
        <v>5991.5</v>
      </c>
      <c r="O564" s="24">
        <v>124600.46</v>
      </c>
      <c r="Q564" s="24">
        <v>93041.74</v>
      </c>
      <c r="S564" s="24">
        <v>26455.38</v>
      </c>
      <c r="U564" s="24">
        <v>88026.1</v>
      </c>
      <c r="W564" s="24">
        <v>2567.31</v>
      </c>
      <c r="Y564" s="24">
        <v>8800</v>
      </c>
      <c r="AA564" s="24">
        <v>8578.34</v>
      </c>
      <c r="AC564" s="24">
        <v>0</v>
      </c>
      <c r="AE564" s="24">
        <f t="shared" si="24"/>
        <v>590642.83000000007</v>
      </c>
      <c r="AF564" s="24"/>
      <c r="AG564" s="24">
        <v>-5967.39</v>
      </c>
      <c r="AH564" s="24"/>
      <c r="AI564" s="24">
        <v>277165.02</v>
      </c>
      <c r="AJ564" s="24"/>
      <c r="AK564" s="24">
        <v>271197.63</v>
      </c>
      <c r="AL564" s="24">
        <f>+'Gov Rev'!AI564-'Gov Exp'!AE564+'Gov Exp'!AI564-'Gov Exp'!AK564</f>
        <v>0</v>
      </c>
      <c r="AM564" s="15" t="str">
        <f>'Gov Rev'!A564</f>
        <v>Rockford</v>
      </c>
      <c r="AN564" s="15" t="str">
        <f t="shared" si="25"/>
        <v>Rockford</v>
      </c>
      <c r="AO564" s="15" t="b">
        <f t="shared" si="26"/>
        <v>1</v>
      </c>
    </row>
    <row r="565" spans="1:41" s="31" customFormat="1" ht="12" customHeight="1" x14ac:dyDescent="0.2">
      <c r="A565" s="1" t="s">
        <v>818</v>
      </c>
      <c r="B565" s="1"/>
      <c r="C565" s="1" t="s">
        <v>207</v>
      </c>
      <c r="E565" s="24">
        <v>29498.49</v>
      </c>
      <c r="F565" s="24"/>
      <c r="G565" s="24">
        <v>899.98</v>
      </c>
      <c r="H565" s="24"/>
      <c r="I565" s="24">
        <v>172.97</v>
      </c>
      <c r="J565" s="24"/>
      <c r="K565" s="24">
        <v>0</v>
      </c>
      <c r="L565" s="24"/>
      <c r="M565" s="24">
        <v>1660</v>
      </c>
      <c r="N565" s="24"/>
      <c r="O565" s="24">
        <v>15845.21</v>
      </c>
      <c r="P565" s="24"/>
      <c r="Q565" s="24">
        <v>33359.29</v>
      </c>
      <c r="R565" s="24"/>
      <c r="S565" s="24">
        <v>0</v>
      </c>
      <c r="T565" s="24"/>
      <c r="U565" s="24">
        <v>9870.06</v>
      </c>
      <c r="V565" s="24"/>
      <c r="W565" s="24">
        <v>8425.39</v>
      </c>
      <c r="X565" s="24"/>
      <c r="Y565" s="24">
        <v>8000</v>
      </c>
      <c r="Z565" s="24"/>
      <c r="AA565" s="24">
        <v>0</v>
      </c>
      <c r="AB565" s="24"/>
      <c r="AC565" s="24">
        <v>0</v>
      </c>
      <c r="AD565" s="24"/>
      <c r="AE565" s="24">
        <f t="shared" si="24"/>
        <v>107731.39</v>
      </c>
      <c r="AF565" s="24"/>
      <c r="AG565" s="24">
        <v>1462.21</v>
      </c>
      <c r="AH565" s="24"/>
      <c r="AI565" s="24">
        <v>101938.19</v>
      </c>
      <c r="AJ565" s="24"/>
      <c r="AK565" s="24">
        <v>103400.4</v>
      </c>
      <c r="AL565" s="24">
        <f>+'Gov Rev'!AI565-'Gov Exp'!AE565+'Gov Exp'!AI565-'Gov Exp'!AK565</f>
        <v>0</v>
      </c>
      <c r="AM565" s="15" t="str">
        <f>'Gov Rev'!A565</f>
        <v>Rocky Ridge</v>
      </c>
      <c r="AN565" s="15" t="str">
        <f t="shared" si="25"/>
        <v>Rocky Ridge</v>
      </c>
      <c r="AO565" s="15" t="b">
        <f t="shared" si="26"/>
        <v>1</v>
      </c>
    </row>
    <row r="566" spans="1:41" ht="12" customHeight="1" x14ac:dyDescent="0.2">
      <c r="A566" s="1" t="s">
        <v>45</v>
      </c>
      <c r="B566" s="1"/>
      <c r="C566" s="1" t="s">
        <v>749</v>
      </c>
      <c r="D566" s="31"/>
      <c r="E566" s="24">
        <v>18610</v>
      </c>
      <c r="G566" s="24">
        <v>0</v>
      </c>
      <c r="I566" s="24">
        <v>0</v>
      </c>
      <c r="K566" s="24">
        <v>0</v>
      </c>
      <c r="M566" s="24">
        <v>0</v>
      </c>
      <c r="O566" s="24">
        <v>15734.03</v>
      </c>
      <c r="Q566" s="24">
        <v>19832.919999999998</v>
      </c>
      <c r="S566" s="24">
        <v>28449.07</v>
      </c>
      <c r="U566" s="24">
        <v>0</v>
      </c>
      <c r="W566" s="24">
        <v>0</v>
      </c>
      <c r="Y566" s="24">
        <v>0</v>
      </c>
      <c r="AA566" s="24">
        <v>0</v>
      </c>
      <c r="AC566" s="24">
        <v>0</v>
      </c>
      <c r="AE566" s="24">
        <f t="shared" si="24"/>
        <v>82626.01999999999</v>
      </c>
      <c r="AF566" s="24"/>
      <c r="AG566" s="24">
        <v>-3619.35</v>
      </c>
      <c r="AH566" s="24"/>
      <c r="AI566" s="24">
        <v>16581.45</v>
      </c>
      <c r="AJ566" s="24"/>
      <c r="AK566" s="24">
        <v>12962.1</v>
      </c>
      <c r="AL566" s="24">
        <f>+'Gov Rev'!AI566-'Gov Exp'!AE566+'Gov Exp'!AI566-'Gov Exp'!AK566</f>
        <v>0</v>
      </c>
      <c r="AM566" s="15" t="str">
        <f>'Gov Rev'!A566</f>
        <v>Rogers</v>
      </c>
      <c r="AN566" s="15" t="str">
        <f t="shared" si="25"/>
        <v>Rogers</v>
      </c>
      <c r="AO566" s="15" t="b">
        <f t="shared" si="26"/>
        <v>1</v>
      </c>
    </row>
    <row r="567" spans="1:41" ht="12" customHeight="1" x14ac:dyDescent="0.2">
      <c r="A567" s="15" t="s">
        <v>819</v>
      </c>
      <c r="C567" s="15" t="s">
        <v>659</v>
      </c>
      <c r="D567" s="28"/>
      <c r="E567" s="24">
        <v>2290</v>
      </c>
      <c r="G567" s="24">
        <v>500</v>
      </c>
      <c r="I567" s="24">
        <v>750</v>
      </c>
      <c r="K567" s="24">
        <v>347</v>
      </c>
      <c r="M567" s="24">
        <v>0</v>
      </c>
      <c r="O567" s="24">
        <v>0</v>
      </c>
      <c r="Q567" s="24">
        <v>3682</v>
      </c>
      <c r="S567" s="24">
        <v>0</v>
      </c>
      <c r="U567" s="24">
        <v>0</v>
      </c>
      <c r="W567" s="24">
        <v>0</v>
      </c>
      <c r="Y567" s="24">
        <v>0</v>
      </c>
      <c r="AA567" s="24">
        <v>0</v>
      </c>
      <c r="AC567" s="24">
        <v>0</v>
      </c>
      <c r="AE567" s="24">
        <f t="shared" si="24"/>
        <v>7569</v>
      </c>
      <c r="AF567" s="24"/>
      <c r="AG567" s="24">
        <v>2975</v>
      </c>
      <c r="AH567" s="24"/>
      <c r="AI567" s="24">
        <f>AK567-AG567</f>
        <v>41332</v>
      </c>
      <c r="AJ567" s="24"/>
      <c r="AK567" s="24">
        <f>10242+34065</f>
        <v>44307</v>
      </c>
      <c r="AL567" s="24">
        <f>+'Gov Rev'!AI567-'Gov Exp'!AE567+'Gov Exp'!AI567-'Gov Exp'!AK567</f>
        <v>0</v>
      </c>
      <c r="AM567" s="15" t="str">
        <f>'Gov Rev'!A567</f>
        <v>Rome</v>
      </c>
      <c r="AN567" s="15" t="str">
        <f t="shared" si="25"/>
        <v>Rome</v>
      </c>
      <c r="AO567" s="15" t="b">
        <f t="shared" si="26"/>
        <v>1</v>
      </c>
    </row>
    <row r="568" spans="1:41" ht="12" customHeight="1" x14ac:dyDescent="0.2">
      <c r="A568" s="1" t="s">
        <v>488</v>
      </c>
      <c r="B568" s="1"/>
      <c r="C568" s="1" t="s">
        <v>484</v>
      </c>
      <c r="D568" s="31"/>
      <c r="E568" s="24">
        <v>213920.23</v>
      </c>
      <c r="G568" s="24">
        <v>31245.200000000001</v>
      </c>
      <c r="I568" s="24">
        <v>73029.820000000007</v>
      </c>
      <c r="K568" s="24">
        <v>0</v>
      </c>
      <c r="M568" s="24">
        <v>126402.04</v>
      </c>
      <c r="O568" s="24">
        <v>65041.4</v>
      </c>
      <c r="Q568" s="24">
        <v>103025.83</v>
      </c>
      <c r="S568" s="24">
        <v>0</v>
      </c>
      <c r="U568" s="24">
        <v>0</v>
      </c>
      <c r="W568" s="24">
        <v>3290.64</v>
      </c>
      <c r="Y568" s="24">
        <v>79322.09</v>
      </c>
      <c r="AA568" s="24">
        <v>19700</v>
      </c>
      <c r="AC568" s="24">
        <v>0</v>
      </c>
      <c r="AE568" s="24">
        <f t="shared" si="24"/>
        <v>714977.25</v>
      </c>
      <c r="AF568" s="24"/>
      <c r="AG568" s="24">
        <v>77528.63</v>
      </c>
      <c r="AH568" s="24"/>
      <c r="AI568" s="24">
        <v>583310.17000000004</v>
      </c>
      <c r="AJ568" s="24"/>
      <c r="AK568" s="24">
        <v>660838.80000000005</v>
      </c>
      <c r="AL568" s="24">
        <f>+'Gov Rev'!AI568-'Gov Exp'!AE568+'Gov Exp'!AI568-'Gov Exp'!AK568</f>
        <v>0</v>
      </c>
      <c r="AM568" s="15" t="str">
        <f>'Gov Rev'!A568</f>
        <v>Roseville</v>
      </c>
      <c r="AN568" s="15" t="str">
        <f t="shared" si="25"/>
        <v>Roseville</v>
      </c>
      <c r="AO568" s="15" t="b">
        <f t="shared" si="26"/>
        <v>1</v>
      </c>
    </row>
    <row r="569" spans="1:41" s="24" customFormat="1" ht="12" hidden="1" customHeight="1" x14ac:dyDescent="0.2">
      <c r="A569" s="1" t="s">
        <v>336</v>
      </c>
      <c r="B569" s="1"/>
      <c r="C569" s="1" t="s">
        <v>329</v>
      </c>
      <c r="D569" s="15"/>
      <c r="AE569" s="24">
        <f t="shared" si="24"/>
        <v>0</v>
      </c>
      <c r="AL569" s="24">
        <f>+'Gov Rev'!AI569-'Gov Exp'!AE569+'Gov Exp'!AI569-'Gov Exp'!AK569</f>
        <v>0</v>
      </c>
      <c r="AM569" s="15" t="str">
        <f>'Gov Rev'!A569</f>
        <v>Rossburg</v>
      </c>
      <c r="AN569" s="15" t="str">
        <f t="shared" si="25"/>
        <v>Rossburg</v>
      </c>
      <c r="AO569" s="15" t="b">
        <f t="shared" si="26"/>
        <v>1</v>
      </c>
    </row>
    <row r="570" spans="1:41" ht="12" customHeight="1" x14ac:dyDescent="0.2">
      <c r="A570" s="1" t="s">
        <v>896</v>
      </c>
      <c r="B570" s="1"/>
      <c r="C570" s="1" t="s">
        <v>560</v>
      </c>
      <c r="D570" s="28"/>
      <c r="E570" s="24">
        <v>22214.35</v>
      </c>
      <c r="G570" s="24">
        <v>35.53</v>
      </c>
      <c r="I570" s="24">
        <v>198.82</v>
      </c>
      <c r="K570" s="24">
        <v>35.04</v>
      </c>
      <c r="M570" s="24">
        <v>15895.19</v>
      </c>
      <c r="O570" s="24">
        <v>5381.95</v>
      </c>
      <c r="Q570" s="24">
        <v>22119.52</v>
      </c>
      <c r="S570" s="24">
        <v>0</v>
      </c>
      <c r="U570" s="24">
        <v>0</v>
      </c>
      <c r="W570" s="24">
        <v>0</v>
      </c>
      <c r="Y570" s="24">
        <v>0</v>
      </c>
      <c r="AA570" s="24">
        <v>0</v>
      </c>
      <c r="AC570" s="24">
        <v>420</v>
      </c>
      <c r="AE570" s="24">
        <f t="shared" si="24"/>
        <v>66300.399999999994</v>
      </c>
      <c r="AF570" s="24"/>
      <c r="AG570" s="24">
        <v>11987.16</v>
      </c>
      <c r="AH570" s="24"/>
      <c r="AI570" s="24">
        <v>25940.12</v>
      </c>
      <c r="AJ570" s="24"/>
      <c r="AK570" s="24">
        <v>37927.279999999999</v>
      </c>
      <c r="AL570" s="24">
        <f>+'Gov Rev'!AI570-'Gov Exp'!AE570+'Gov Exp'!AI570-'Gov Exp'!AK570</f>
        <v>0</v>
      </c>
      <c r="AM570" s="15" t="str">
        <f>'Gov Rev'!A570</f>
        <v>Roswell</v>
      </c>
      <c r="AN570" s="15" t="str">
        <f t="shared" si="25"/>
        <v>Roswell</v>
      </c>
      <c r="AO570" s="15" t="b">
        <f t="shared" si="26"/>
        <v>1</v>
      </c>
    </row>
    <row r="571" spans="1:41" ht="12" customHeight="1" x14ac:dyDescent="0.2">
      <c r="A571" s="1" t="s">
        <v>842</v>
      </c>
      <c r="B571" s="1"/>
      <c r="C571" s="1" t="s">
        <v>775</v>
      </c>
      <c r="E571" s="24">
        <v>10172.879999999999</v>
      </c>
      <c r="G571" s="24">
        <v>0</v>
      </c>
      <c r="I571" s="24">
        <v>11070.6</v>
      </c>
      <c r="K571" s="24">
        <v>428.96</v>
      </c>
      <c r="M571" s="24">
        <v>0</v>
      </c>
      <c r="O571" s="24">
        <v>102575.49</v>
      </c>
      <c r="Q571" s="24">
        <v>76763.539999999994</v>
      </c>
      <c r="S571" s="24">
        <v>0</v>
      </c>
      <c r="U571" s="24">
        <v>0</v>
      </c>
      <c r="W571" s="24">
        <v>0</v>
      </c>
      <c r="Y571" s="24">
        <v>0</v>
      </c>
      <c r="AA571" s="24">
        <v>0</v>
      </c>
      <c r="AC571" s="24">
        <v>0</v>
      </c>
      <c r="AE571" s="24">
        <f t="shared" si="24"/>
        <v>201011.47</v>
      </c>
      <c r="AF571" s="24"/>
      <c r="AG571" s="24">
        <v>-52157.01</v>
      </c>
      <c r="AH571" s="24"/>
      <c r="AI571" s="24">
        <v>161234.04</v>
      </c>
      <c r="AJ571" s="24"/>
      <c r="AK571" s="24">
        <v>109077.03</v>
      </c>
      <c r="AL571" s="24">
        <f>+'Gov Rev'!AI571-'Gov Exp'!AE571+'Gov Exp'!AI571-'Gov Exp'!AK571</f>
        <v>0</v>
      </c>
      <c r="AM571" s="15" t="str">
        <f>'Gov Rev'!A571</f>
        <v>Rushsylvania</v>
      </c>
      <c r="AN571" s="15" t="str">
        <f t="shared" si="25"/>
        <v>Rushsylvania</v>
      </c>
      <c r="AO571" s="15" t="b">
        <f t="shared" si="26"/>
        <v>1</v>
      </c>
    </row>
    <row r="572" spans="1:41" ht="12" customHeight="1" x14ac:dyDescent="0.2">
      <c r="A572" s="1"/>
      <c r="B572" s="1"/>
      <c r="C572" s="1"/>
      <c r="AE572" s="24"/>
      <c r="AF572" s="24"/>
      <c r="AG572" s="24"/>
      <c r="AH572" s="24"/>
      <c r="AI572" s="24"/>
      <c r="AJ572" s="24"/>
      <c r="AK572" s="24"/>
      <c r="AL572" s="24"/>
    </row>
    <row r="573" spans="1:41" ht="12" customHeight="1" x14ac:dyDescent="0.2">
      <c r="A573" s="1"/>
      <c r="B573" s="1"/>
      <c r="C573" s="1"/>
      <c r="AE573" s="77" t="s">
        <v>850</v>
      </c>
      <c r="AF573" s="24"/>
      <c r="AG573" s="24"/>
      <c r="AH573" s="24"/>
      <c r="AI573" s="24"/>
      <c r="AJ573" s="24"/>
      <c r="AK573" s="24"/>
      <c r="AL573" s="24"/>
    </row>
    <row r="574" spans="1:41" ht="12" customHeight="1" x14ac:dyDescent="0.2">
      <c r="A574" s="1"/>
      <c r="B574" s="1"/>
      <c r="C574" s="1"/>
      <c r="AE574" s="24"/>
      <c r="AF574" s="24"/>
      <c r="AG574" s="24"/>
      <c r="AH574" s="24"/>
      <c r="AI574" s="24"/>
      <c r="AJ574" s="24"/>
      <c r="AK574" s="24"/>
      <c r="AL574" s="24"/>
    </row>
    <row r="575" spans="1:41" ht="12" customHeight="1" x14ac:dyDescent="0.2">
      <c r="A575" s="1" t="s">
        <v>65</v>
      </c>
      <c r="B575" s="1"/>
      <c r="C575" s="1" t="s">
        <v>756</v>
      </c>
      <c r="D575" s="31"/>
      <c r="E575" s="91">
        <v>2751.08</v>
      </c>
      <c r="F575" s="91"/>
      <c r="G575" s="91">
        <v>928.85</v>
      </c>
      <c r="H575" s="91"/>
      <c r="I575" s="91">
        <v>40</v>
      </c>
      <c r="J575" s="91"/>
      <c r="K575" s="91">
        <v>740.65</v>
      </c>
      <c r="L575" s="91"/>
      <c r="M575" s="91">
        <v>0</v>
      </c>
      <c r="N575" s="91"/>
      <c r="O575" s="91">
        <v>7155.34</v>
      </c>
      <c r="P575" s="91"/>
      <c r="Q575" s="91">
        <v>25229.29</v>
      </c>
      <c r="R575" s="91"/>
      <c r="S575" s="91">
        <v>0</v>
      </c>
      <c r="T575" s="91"/>
      <c r="U575" s="91">
        <v>621.05999999999995</v>
      </c>
      <c r="V575" s="91"/>
      <c r="W575" s="91">
        <v>0</v>
      </c>
      <c r="X575" s="91"/>
      <c r="Y575" s="91">
        <v>886.38</v>
      </c>
      <c r="Z575" s="91"/>
      <c r="AA575" s="91">
        <v>0</v>
      </c>
      <c r="AB575" s="91"/>
      <c r="AC575" s="91">
        <v>0</v>
      </c>
      <c r="AD575" s="91"/>
      <c r="AE575" s="91">
        <f t="shared" si="24"/>
        <v>38352.649999999994</v>
      </c>
      <c r="AF575" s="24"/>
      <c r="AG575" s="24">
        <v>7020.46</v>
      </c>
      <c r="AH575" s="24"/>
      <c r="AI575" s="24">
        <v>80475.460000000006</v>
      </c>
      <c r="AJ575" s="24"/>
      <c r="AK575" s="24">
        <v>87495.92</v>
      </c>
      <c r="AL575" s="24">
        <f>+'Gov Rev'!AI572-'Gov Exp'!AE575+'Gov Exp'!AI575-'Gov Exp'!AK575</f>
        <v>0</v>
      </c>
      <c r="AM575" s="15" t="str">
        <f>'Gov Rev'!A572</f>
        <v>Rushville</v>
      </c>
      <c r="AN575" s="15" t="str">
        <f t="shared" si="25"/>
        <v>Rushville</v>
      </c>
      <c r="AO575" s="15" t="b">
        <f t="shared" si="26"/>
        <v>1</v>
      </c>
    </row>
    <row r="576" spans="1:41" ht="12" customHeight="1" x14ac:dyDescent="0.2">
      <c r="A576" s="1" t="s">
        <v>447</v>
      </c>
      <c r="B576" s="1"/>
      <c r="C576" s="1" t="s">
        <v>446</v>
      </c>
      <c r="D576" s="31"/>
      <c r="E576" s="24">
        <v>247752.2</v>
      </c>
      <c r="G576" s="24">
        <v>0</v>
      </c>
      <c r="I576" s="24">
        <v>5454.01</v>
      </c>
      <c r="K576" s="24">
        <v>43242.09</v>
      </c>
      <c r="M576" s="24">
        <v>0</v>
      </c>
      <c r="O576" s="24">
        <v>63765.45</v>
      </c>
      <c r="Q576" s="24">
        <v>189279.92</v>
      </c>
      <c r="S576" s="24">
        <v>64906.34</v>
      </c>
      <c r="U576" s="24">
        <v>17850.68</v>
      </c>
      <c r="W576" s="24">
        <v>28460.31</v>
      </c>
      <c r="Y576" s="24">
        <v>198183.88</v>
      </c>
      <c r="AA576" s="24">
        <v>0</v>
      </c>
      <c r="AC576" s="24">
        <v>0</v>
      </c>
      <c r="AE576" s="24">
        <f t="shared" si="24"/>
        <v>858894.88000000012</v>
      </c>
      <c r="AF576" s="24"/>
      <c r="AG576" s="24">
        <v>50403.61</v>
      </c>
      <c r="AH576" s="24"/>
      <c r="AI576" s="24">
        <v>1373094.13</v>
      </c>
      <c r="AJ576" s="24"/>
      <c r="AK576" s="24">
        <v>1423497.74</v>
      </c>
      <c r="AL576" s="24">
        <f>+'Gov Rev'!AI573-'Gov Exp'!AE576+'Gov Exp'!AI576-'Gov Exp'!AK576</f>
        <v>0</v>
      </c>
      <c r="AM576" s="15" t="str">
        <f>'Gov Rev'!A573</f>
        <v>Russells Point</v>
      </c>
      <c r="AN576" s="15" t="str">
        <f t="shared" si="25"/>
        <v>Russells Point</v>
      </c>
      <c r="AO576" s="15" t="b">
        <f t="shared" si="26"/>
        <v>1</v>
      </c>
    </row>
    <row r="577" spans="1:41" ht="12" customHeight="1" x14ac:dyDescent="0.2">
      <c r="A577" s="1" t="s">
        <v>933</v>
      </c>
      <c r="B577" s="1"/>
      <c r="C577" s="1" t="s">
        <v>283</v>
      </c>
      <c r="D577" s="31"/>
      <c r="E577" s="24">
        <v>160397.66</v>
      </c>
      <c r="G577" s="24">
        <v>1000</v>
      </c>
      <c r="I577" s="24">
        <v>5700</v>
      </c>
      <c r="K577" s="24">
        <v>0</v>
      </c>
      <c r="M577" s="24">
        <v>0</v>
      </c>
      <c r="O577" s="24">
        <v>17359.080000000002</v>
      </c>
      <c r="Q577" s="24">
        <v>95554.47</v>
      </c>
      <c r="S577" s="24">
        <v>0</v>
      </c>
      <c r="U577" s="24">
        <v>47729.34</v>
      </c>
      <c r="W577" s="24">
        <v>6112.71</v>
      </c>
      <c r="Y577" s="24">
        <v>0</v>
      </c>
      <c r="AA577" s="24">
        <v>0</v>
      </c>
      <c r="AC577" s="24">
        <v>0</v>
      </c>
      <c r="AE577" s="24">
        <f t="shared" si="24"/>
        <v>333853.25999999995</v>
      </c>
      <c r="AF577" s="24"/>
      <c r="AG577" s="24">
        <v>-20979.42</v>
      </c>
      <c r="AH577" s="24"/>
      <c r="AI577" s="24">
        <v>193521.2</v>
      </c>
      <c r="AJ577" s="24"/>
      <c r="AK577" s="24">
        <v>172541.78</v>
      </c>
      <c r="AL577" s="24">
        <f>+'Gov Rev'!AI574-'Gov Exp'!AE577+'Gov Exp'!AI577-'Gov Exp'!AK577</f>
        <v>0</v>
      </c>
      <c r="AM577" s="15" t="str">
        <f>'Gov Rev'!A574</f>
        <v>Russellville</v>
      </c>
      <c r="AN577" s="15" t="str">
        <f t="shared" si="25"/>
        <v>Russellville</v>
      </c>
      <c r="AO577" s="15" t="b">
        <f t="shared" si="26"/>
        <v>1</v>
      </c>
    </row>
    <row r="578" spans="1:41" ht="12" customHeight="1" x14ac:dyDescent="0.2">
      <c r="A578" s="15" t="s">
        <v>538</v>
      </c>
      <c r="C578" s="15" t="s">
        <v>536</v>
      </c>
      <c r="E578" s="24">
        <v>44368</v>
      </c>
      <c r="G578" s="24">
        <v>6896</v>
      </c>
      <c r="I578" s="24">
        <v>10388</v>
      </c>
      <c r="K578" s="24">
        <v>56</v>
      </c>
      <c r="M578" s="24">
        <v>15796</v>
      </c>
      <c r="O578" s="24">
        <v>23974</v>
      </c>
      <c r="Q578" s="24">
        <v>236182</v>
      </c>
      <c r="S578" s="24">
        <v>89918</v>
      </c>
      <c r="U578" s="24">
        <v>0</v>
      </c>
      <c r="W578" s="24">
        <v>0</v>
      </c>
      <c r="Y578" s="24">
        <v>0</v>
      </c>
      <c r="AA578" s="24">
        <v>0</v>
      </c>
      <c r="AC578" s="24">
        <v>0</v>
      </c>
      <c r="AE578" s="24">
        <f t="shared" si="24"/>
        <v>427578</v>
      </c>
      <c r="AF578" s="24"/>
      <c r="AG578" s="24">
        <v>-27817</v>
      </c>
      <c r="AH578" s="24"/>
      <c r="AI578" s="24">
        <v>532239</v>
      </c>
      <c r="AJ578" s="24"/>
      <c r="AK578" s="24">
        <v>504422</v>
      </c>
      <c r="AL578" s="24">
        <f>+'Gov Rev'!AI575-'Gov Exp'!AE578+'Gov Exp'!AI578-'Gov Exp'!AK578</f>
        <v>0</v>
      </c>
      <c r="AM578" s="15" t="str">
        <f>'Gov Rev'!A575</f>
        <v>Russia</v>
      </c>
      <c r="AN578" s="15" t="str">
        <f t="shared" si="25"/>
        <v>Russia</v>
      </c>
      <c r="AO578" s="15" t="b">
        <f t="shared" si="26"/>
        <v>1</v>
      </c>
    </row>
    <row r="579" spans="1:41" ht="12" customHeight="1" x14ac:dyDescent="0.2">
      <c r="A579" s="1" t="s">
        <v>700</v>
      </c>
      <c r="B579" s="1"/>
      <c r="C579" s="1" t="s">
        <v>464</v>
      </c>
      <c r="D579" s="31"/>
      <c r="E579" s="24">
        <v>24866.31</v>
      </c>
      <c r="G579" s="24">
        <v>0</v>
      </c>
      <c r="I579" s="24">
        <v>379.25</v>
      </c>
      <c r="K579" s="24">
        <v>0</v>
      </c>
      <c r="M579" s="24">
        <v>0</v>
      </c>
      <c r="O579" s="24">
        <v>20145.77</v>
      </c>
      <c r="Q579" s="24">
        <v>20089.05</v>
      </c>
      <c r="S579" s="24">
        <v>0</v>
      </c>
      <c r="U579" s="24">
        <v>5100.2700000000004</v>
      </c>
      <c r="W579" s="24">
        <v>716.89</v>
      </c>
      <c r="Y579" s="24">
        <v>0</v>
      </c>
      <c r="AA579" s="24">
        <v>0</v>
      </c>
      <c r="AC579" s="24">
        <v>0</v>
      </c>
      <c r="AE579" s="24">
        <f t="shared" si="24"/>
        <v>71297.540000000008</v>
      </c>
      <c r="AF579" s="24"/>
      <c r="AG579" s="24">
        <v>6975.22</v>
      </c>
      <c r="AH579" s="24"/>
      <c r="AI579" s="24">
        <v>32516.54</v>
      </c>
      <c r="AJ579" s="24"/>
      <c r="AK579" s="24">
        <v>39491.760000000002</v>
      </c>
      <c r="AL579" s="24">
        <f>+'Gov Rev'!AI576-'Gov Exp'!AE579+'Gov Exp'!AI579-'Gov Exp'!AK579</f>
        <v>0</v>
      </c>
      <c r="AM579" s="15" t="str">
        <f>'Gov Rev'!A576</f>
        <v>Rutland</v>
      </c>
      <c r="AN579" s="15" t="str">
        <f t="shared" si="25"/>
        <v>Rutland</v>
      </c>
      <c r="AO579" s="15" t="b">
        <f t="shared" si="26"/>
        <v>1</v>
      </c>
    </row>
    <row r="580" spans="1:41" ht="12" customHeight="1" x14ac:dyDescent="0.2">
      <c r="A580" s="1" t="s">
        <v>304</v>
      </c>
      <c r="B580" s="1"/>
      <c r="C580" s="1" t="s">
        <v>299</v>
      </c>
      <c r="D580" s="31"/>
      <c r="E580" s="24">
        <v>321974.62</v>
      </c>
      <c r="G580" s="24">
        <v>715.02</v>
      </c>
      <c r="I580" s="24">
        <v>579.57000000000005</v>
      </c>
      <c r="K580" s="24">
        <v>0</v>
      </c>
      <c r="M580" s="24">
        <v>0</v>
      </c>
      <c r="O580" s="24">
        <v>158504.70000000001</v>
      </c>
      <c r="Q580" s="24">
        <v>187490.76</v>
      </c>
      <c r="S580" s="24">
        <v>866.8</v>
      </c>
      <c r="U580" s="24">
        <v>0</v>
      </c>
      <c r="W580" s="24">
        <v>0</v>
      </c>
      <c r="Y580" s="24">
        <v>0</v>
      </c>
      <c r="AA580" s="24">
        <v>0</v>
      </c>
      <c r="AC580" s="24">
        <v>13.21</v>
      </c>
      <c r="AE580" s="24">
        <f t="shared" si="24"/>
        <v>670144.68000000005</v>
      </c>
      <c r="AF580" s="24"/>
      <c r="AG580" s="24">
        <v>-99877.26</v>
      </c>
      <c r="AH580" s="24"/>
      <c r="AI580" s="24">
        <v>798983.75</v>
      </c>
      <c r="AJ580" s="24"/>
      <c r="AK580" s="24">
        <v>699106.49</v>
      </c>
      <c r="AL580" s="24">
        <f>+'Gov Rev'!AI577-'Gov Exp'!AE580+'Gov Exp'!AI580-'Gov Exp'!AK580</f>
        <v>0</v>
      </c>
      <c r="AM580" s="15" t="str">
        <f>'Gov Rev'!A577</f>
        <v>Sabina</v>
      </c>
      <c r="AN580" s="15" t="str">
        <f t="shared" si="25"/>
        <v>Sabina</v>
      </c>
      <c r="AO580" s="15" t="b">
        <f t="shared" si="26"/>
        <v>1</v>
      </c>
    </row>
    <row r="581" spans="1:41" ht="12" customHeight="1" x14ac:dyDescent="0.2">
      <c r="A581" s="1" t="s">
        <v>161</v>
      </c>
      <c r="B581" s="1"/>
      <c r="C581" s="1" t="s">
        <v>783</v>
      </c>
      <c r="D581" s="31"/>
      <c r="E581" s="24">
        <v>200265.41</v>
      </c>
      <c r="G581" s="24">
        <v>14060.01</v>
      </c>
      <c r="I581" s="24">
        <v>94423.27</v>
      </c>
      <c r="K581" s="24">
        <v>0</v>
      </c>
      <c r="M581" s="24">
        <v>0</v>
      </c>
      <c r="O581" s="24">
        <v>126916.7</v>
      </c>
      <c r="Q581" s="24">
        <v>330425.23</v>
      </c>
      <c r="S581" s="24">
        <v>252603.08</v>
      </c>
      <c r="U581" s="24">
        <v>52024.03</v>
      </c>
      <c r="W581" s="24">
        <v>4647.9799999999996</v>
      </c>
      <c r="Y581" s="24">
        <v>50000</v>
      </c>
      <c r="AA581" s="24">
        <v>0</v>
      </c>
      <c r="AC581" s="24">
        <v>0</v>
      </c>
      <c r="AE581" s="24">
        <f t="shared" si="24"/>
        <v>1125365.71</v>
      </c>
      <c r="AF581" s="24"/>
      <c r="AG581" s="24">
        <v>323153.25</v>
      </c>
      <c r="AH581" s="24"/>
      <c r="AI581" s="24">
        <v>740921.3</v>
      </c>
      <c r="AJ581" s="24"/>
      <c r="AK581" s="24">
        <v>1064074.55</v>
      </c>
      <c r="AL581" s="24">
        <f>+'Gov Rev'!AI578-'Gov Exp'!AE581+'Gov Exp'!AI581-'Gov Exp'!AK581</f>
        <v>0</v>
      </c>
      <c r="AM581" s="15" t="str">
        <f>'Gov Rev'!A578</f>
        <v>Saint Henry</v>
      </c>
      <c r="AN581" s="15" t="str">
        <f t="shared" si="25"/>
        <v>Saint Henry</v>
      </c>
      <c r="AO581" s="15" t="b">
        <f t="shared" si="26"/>
        <v>1</v>
      </c>
    </row>
    <row r="582" spans="1:41" s="24" customFormat="1" ht="12" customHeight="1" x14ac:dyDescent="0.2">
      <c r="A582" s="1" t="s">
        <v>934</v>
      </c>
      <c r="B582" s="1"/>
      <c r="C582" s="1" t="s">
        <v>375</v>
      </c>
      <c r="D582" s="31"/>
      <c r="E582" s="24">
        <v>1000</v>
      </c>
      <c r="G582" s="24">
        <v>0</v>
      </c>
      <c r="I582" s="24">
        <v>114.29</v>
      </c>
      <c r="K582" s="24">
        <v>0</v>
      </c>
      <c r="M582" s="24">
        <v>5230.6400000000003</v>
      </c>
      <c r="O582" s="24">
        <v>367</v>
      </c>
      <c r="Q582" s="24">
        <v>14640.59</v>
      </c>
      <c r="S582" s="24">
        <v>0</v>
      </c>
      <c r="U582" s="24">
        <v>0</v>
      </c>
      <c r="W582" s="24">
        <v>0</v>
      </c>
      <c r="Y582" s="24">
        <v>0</v>
      </c>
      <c r="AA582" s="24">
        <v>0</v>
      </c>
      <c r="AC582" s="24">
        <v>0</v>
      </c>
      <c r="AE582" s="24">
        <f t="shared" si="24"/>
        <v>21352.52</v>
      </c>
      <c r="AG582" s="24">
        <v>1857.85</v>
      </c>
      <c r="AI582" s="24">
        <v>36769.5</v>
      </c>
      <c r="AK582" s="24">
        <v>38627.35</v>
      </c>
      <c r="AL582" s="24">
        <f>+'Gov Rev'!AI579-'Gov Exp'!AE582+'Gov Exp'!AI582-'Gov Exp'!AK582</f>
        <v>0</v>
      </c>
      <c r="AM582" s="15" t="str">
        <f>'Gov Rev'!A579</f>
        <v>Salesville</v>
      </c>
      <c r="AN582" s="15" t="str">
        <f t="shared" si="25"/>
        <v>Salesville</v>
      </c>
      <c r="AO582" s="15" t="b">
        <f t="shared" si="26"/>
        <v>1</v>
      </c>
    </row>
    <row r="583" spans="1:41" ht="12" customHeight="1" x14ac:dyDescent="0.2">
      <c r="A583" s="1" t="s">
        <v>46</v>
      </c>
      <c r="B583" s="1"/>
      <c r="C583" s="1" t="s">
        <v>749</v>
      </c>
      <c r="D583" s="31"/>
      <c r="E583" s="24">
        <v>172938.63</v>
      </c>
      <c r="G583" s="24">
        <v>21076.28</v>
      </c>
      <c r="I583" s="24">
        <v>0</v>
      </c>
      <c r="K583" s="24">
        <v>0</v>
      </c>
      <c r="M583" s="24">
        <v>1000</v>
      </c>
      <c r="O583" s="24">
        <v>67189.42</v>
      </c>
      <c r="Q583" s="24">
        <v>104010.1</v>
      </c>
      <c r="S583" s="24">
        <v>0</v>
      </c>
      <c r="U583" s="24">
        <v>0</v>
      </c>
      <c r="W583" s="24">
        <v>0</v>
      </c>
      <c r="Y583" s="24">
        <v>15500</v>
      </c>
      <c r="AA583" s="24">
        <v>20500</v>
      </c>
      <c r="AC583" s="24">
        <v>0</v>
      </c>
      <c r="AE583" s="24">
        <f t="shared" si="24"/>
        <v>402214.43000000005</v>
      </c>
      <c r="AF583" s="24"/>
      <c r="AG583" s="24">
        <v>10552.59</v>
      </c>
      <c r="AH583" s="24"/>
      <c r="AI583" s="24">
        <v>161214.1</v>
      </c>
      <c r="AJ583" s="24"/>
      <c r="AK583" s="24">
        <v>171766.69</v>
      </c>
      <c r="AL583" s="24">
        <f>+'Gov Rev'!AI580-'Gov Exp'!AE583+'Gov Exp'!AI583-'Gov Exp'!AK583</f>
        <v>0</v>
      </c>
      <c r="AM583" s="15" t="str">
        <f>'Gov Rev'!A580</f>
        <v>Salineville</v>
      </c>
      <c r="AN583" s="15" t="str">
        <f t="shared" si="25"/>
        <v>Salineville</v>
      </c>
      <c r="AO583" s="15" t="b">
        <f t="shared" si="26"/>
        <v>1</v>
      </c>
    </row>
    <row r="584" spans="1:41" s="31" customFormat="1" ht="12" customHeight="1" x14ac:dyDescent="0.2">
      <c r="A584" s="15" t="s">
        <v>906</v>
      </c>
      <c r="B584" s="15"/>
      <c r="C584" s="15" t="s">
        <v>490</v>
      </c>
      <c r="D584" s="28"/>
      <c r="E584" s="24">
        <v>3922</v>
      </c>
      <c r="F584" s="24"/>
      <c r="G584" s="24">
        <v>0</v>
      </c>
      <c r="H584" s="24"/>
      <c r="I584" s="24">
        <v>188</v>
      </c>
      <c r="J584" s="24"/>
      <c r="K584" s="24">
        <v>0</v>
      </c>
      <c r="L584" s="24"/>
      <c r="M584" s="24">
        <v>0</v>
      </c>
      <c r="N584" s="24"/>
      <c r="O584" s="24">
        <v>9474</v>
      </c>
      <c r="P584" s="24"/>
      <c r="Q584" s="24">
        <v>8844</v>
      </c>
      <c r="R584" s="24"/>
      <c r="S584" s="24">
        <v>0</v>
      </c>
      <c r="T584" s="24"/>
      <c r="U584" s="24">
        <v>0</v>
      </c>
      <c r="V584" s="24"/>
      <c r="W584" s="24">
        <v>0</v>
      </c>
      <c r="X584" s="24"/>
      <c r="Y584" s="24">
        <v>0</v>
      </c>
      <c r="Z584" s="24"/>
      <c r="AA584" s="24">
        <v>0</v>
      </c>
      <c r="AB584" s="24"/>
      <c r="AC584" s="24">
        <v>0</v>
      </c>
      <c r="AD584" s="24"/>
      <c r="AE584" s="24">
        <f t="shared" si="24"/>
        <v>22428</v>
      </c>
      <c r="AF584" s="24"/>
      <c r="AG584" s="24">
        <v>791</v>
      </c>
      <c r="AH584" s="24"/>
      <c r="AI584" s="24">
        <f>AK584-AG584</f>
        <v>22549</v>
      </c>
      <c r="AJ584" s="24"/>
      <c r="AK584" s="24">
        <v>23340</v>
      </c>
      <c r="AL584" s="24">
        <f>+'Gov Rev'!AI581-'Gov Exp'!AE584+'Gov Exp'!AI584-'Gov Exp'!AK584</f>
        <v>0</v>
      </c>
      <c r="AM584" s="15" t="str">
        <f>'Gov Rev'!A581</f>
        <v>Sarahsville</v>
      </c>
      <c r="AN584" s="15" t="str">
        <f t="shared" si="25"/>
        <v>Sarahsville</v>
      </c>
      <c r="AO584" s="15" t="b">
        <f t="shared" si="26"/>
        <v>1</v>
      </c>
    </row>
    <row r="585" spans="1:41" s="31" customFormat="1" ht="12" customHeight="1" x14ac:dyDescent="0.2">
      <c r="A585" s="1" t="s">
        <v>25</v>
      </c>
      <c r="B585" s="1"/>
      <c r="C585" s="1" t="s">
        <v>742</v>
      </c>
      <c r="E585" s="24">
        <v>131121.51999999999</v>
      </c>
      <c r="F585" s="24"/>
      <c r="G585" s="24">
        <v>15310.61</v>
      </c>
      <c r="H585" s="24"/>
      <c r="I585" s="24">
        <v>0</v>
      </c>
      <c r="J585" s="24"/>
      <c r="K585" s="24">
        <v>0</v>
      </c>
      <c r="L585" s="24"/>
      <c r="M585" s="24">
        <v>0</v>
      </c>
      <c r="N585" s="24"/>
      <c r="O585" s="24">
        <v>31054.23</v>
      </c>
      <c r="P585" s="24"/>
      <c r="Q585" s="24">
        <v>107680.4</v>
      </c>
      <c r="R585" s="24"/>
      <c r="S585" s="24">
        <v>13703.45</v>
      </c>
      <c r="T585" s="24"/>
      <c r="U585" s="24">
        <v>111442.94</v>
      </c>
      <c r="V585" s="24"/>
      <c r="W585" s="24">
        <v>53054.64</v>
      </c>
      <c r="X585" s="24"/>
      <c r="Y585" s="24">
        <v>198134.14</v>
      </c>
      <c r="Z585" s="24"/>
      <c r="AA585" s="24">
        <v>0</v>
      </c>
      <c r="AB585" s="24"/>
      <c r="AC585" s="24">
        <v>0</v>
      </c>
      <c r="AD585" s="24"/>
      <c r="AE585" s="24">
        <f t="shared" si="24"/>
        <v>661501.93000000005</v>
      </c>
      <c r="AF585" s="24"/>
      <c r="AG585" s="24">
        <v>54573.33</v>
      </c>
      <c r="AH585" s="24"/>
      <c r="AI585" s="24">
        <v>263724.05</v>
      </c>
      <c r="AJ585" s="24"/>
      <c r="AK585" s="24">
        <v>318297.38</v>
      </c>
      <c r="AL585" s="24">
        <f>+'Gov Rev'!AI582-'Gov Exp'!AE585+'Gov Exp'!AI585-'Gov Exp'!AK585</f>
        <v>0</v>
      </c>
      <c r="AM585" s="15" t="str">
        <f>'Gov Rev'!A582</f>
        <v>Sardinia</v>
      </c>
      <c r="AN585" s="15" t="str">
        <f t="shared" si="25"/>
        <v>Sardinia</v>
      </c>
      <c r="AO585" s="15" t="b">
        <f t="shared" si="26"/>
        <v>1</v>
      </c>
    </row>
    <row r="586" spans="1:41" ht="12" customHeight="1" x14ac:dyDescent="0.2">
      <c r="A586" s="15" t="s">
        <v>673</v>
      </c>
      <c r="C586" s="15" t="s">
        <v>666</v>
      </c>
      <c r="D586" s="28"/>
      <c r="E586" s="24">
        <v>9650</v>
      </c>
      <c r="G586" s="24">
        <v>0</v>
      </c>
      <c r="I586" s="24">
        <v>3111</v>
      </c>
      <c r="K586" s="24">
        <v>50</v>
      </c>
      <c r="M586" s="24">
        <v>4577</v>
      </c>
      <c r="O586" s="24">
        <v>8824</v>
      </c>
      <c r="Q586" s="24">
        <v>33620</v>
      </c>
      <c r="S586" s="24">
        <v>2144</v>
      </c>
      <c r="U586" s="24">
        <v>0</v>
      </c>
      <c r="W586" s="24">
        <v>0</v>
      </c>
      <c r="Y586" s="24">
        <v>0</v>
      </c>
      <c r="AA586" s="24">
        <v>0</v>
      </c>
      <c r="AC586" s="24">
        <v>24337</v>
      </c>
      <c r="AE586" s="24">
        <f t="shared" si="24"/>
        <v>86313</v>
      </c>
      <c r="AF586" s="24"/>
      <c r="AG586" s="24">
        <v>-24402</v>
      </c>
      <c r="AH586" s="24"/>
      <c r="AI586" s="24">
        <v>95725</v>
      </c>
      <c r="AJ586" s="24"/>
      <c r="AK586" s="24">
        <v>71323</v>
      </c>
      <c r="AL586" s="24">
        <f>+'Gov Rev'!AI583-'Gov Exp'!AE586+'Gov Exp'!AI586-'Gov Exp'!AK586</f>
        <v>0</v>
      </c>
      <c r="AM586" s="15" t="str">
        <f>'Gov Rev'!A583</f>
        <v>Savannah</v>
      </c>
      <c r="AN586" s="15" t="str">
        <f t="shared" si="25"/>
        <v>Savannah</v>
      </c>
      <c r="AO586" s="15" t="b">
        <f t="shared" si="26"/>
        <v>1</v>
      </c>
    </row>
    <row r="587" spans="1:41" s="31" customFormat="1" ht="12" customHeight="1" x14ac:dyDescent="0.2">
      <c r="A587" s="15" t="s">
        <v>406</v>
      </c>
      <c r="B587" s="15"/>
      <c r="C587" s="15" t="s">
        <v>403</v>
      </c>
      <c r="D587" s="15"/>
      <c r="E587" s="24">
        <v>32970</v>
      </c>
      <c r="F587" s="24"/>
      <c r="G587" s="24">
        <v>549</v>
      </c>
      <c r="H587" s="24"/>
      <c r="I587" s="24">
        <v>8076</v>
      </c>
      <c r="J587" s="24"/>
      <c r="K587" s="24">
        <v>0</v>
      </c>
      <c r="L587" s="24"/>
      <c r="M587" s="24">
        <v>0</v>
      </c>
      <c r="N587" s="24"/>
      <c r="O587" s="24">
        <v>24215</v>
      </c>
      <c r="P587" s="24"/>
      <c r="Q587" s="24">
        <v>114332</v>
      </c>
      <c r="R587" s="24"/>
      <c r="S587" s="24">
        <v>52637</v>
      </c>
      <c r="T587" s="24"/>
      <c r="U587" s="24">
        <v>0</v>
      </c>
      <c r="V587" s="24"/>
      <c r="W587" s="24">
        <v>0</v>
      </c>
      <c r="X587" s="24"/>
      <c r="Y587" s="24">
        <v>0</v>
      </c>
      <c r="Z587" s="24"/>
      <c r="AA587" s="24">
        <v>0</v>
      </c>
      <c r="AB587" s="24"/>
      <c r="AC587" s="24">
        <v>49471</v>
      </c>
      <c r="AD587" s="24"/>
      <c r="AE587" s="24">
        <f t="shared" si="24"/>
        <v>282250</v>
      </c>
      <c r="AF587" s="24"/>
      <c r="AG587" s="24">
        <v>-54776</v>
      </c>
      <c r="AH587" s="24"/>
      <c r="AI587" s="24">
        <v>387357</v>
      </c>
      <c r="AJ587" s="24"/>
      <c r="AK587" s="24">
        <v>332581</v>
      </c>
      <c r="AL587" s="24">
        <f>+'Gov Rev'!AI584-'Gov Exp'!AE587+'Gov Exp'!AI587-'Gov Exp'!AK587</f>
        <v>0</v>
      </c>
      <c r="AM587" s="15" t="str">
        <f>'Gov Rev'!A584</f>
        <v>Scio</v>
      </c>
      <c r="AN587" s="15" t="str">
        <f t="shared" si="25"/>
        <v>Scio</v>
      </c>
      <c r="AO587" s="15" t="b">
        <f t="shared" si="26"/>
        <v>1</v>
      </c>
    </row>
    <row r="588" spans="1:41" ht="12" customHeight="1" x14ac:dyDescent="0.2">
      <c r="A588" s="1" t="s">
        <v>574</v>
      </c>
      <c r="B588" s="1"/>
      <c r="C588" s="1" t="s">
        <v>572</v>
      </c>
      <c r="D588" s="31"/>
      <c r="E588" s="24">
        <v>75854.240000000005</v>
      </c>
      <c r="G588" s="24">
        <v>291.08999999999997</v>
      </c>
      <c r="I588" s="24">
        <v>4141.66</v>
      </c>
      <c r="K588" s="24">
        <v>98.17</v>
      </c>
      <c r="M588" s="24">
        <v>0</v>
      </c>
      <c r="O588" s="24">
        <v>5879.38</v>
      </c>
      <c r="Q588" s="24">
        <v>16374.96</v>
      </c>
      <c r="S588" s="24">
        <v>5780</v>
      </c>
      <c r="U588" s="24">
        <v>0</v>
      </c>
      <c r="W588" s="24">
        <v>0</v>
      </c>
      <c r="Y588" s="24">
        <v>9809.5</v>
      </c>
      <c r="AA588" s="24">
        <v>18650</v>
      </c>
      <c r="AC588" s="24">
        <v>0</v>
      </c>
      <c r="AE588" s="24">
        <f t="shared" si="24"/>
        <v>136879</v>
      </c>
      <c r="AF588" s="24"/>
      <c r="AG588" s="24">
        <v>28493.9</v>
      </c>
      <c r="AH588" s="24"/>
      <c r="AI588" s="24">
        <v>130252.62</v>
      </c>
      <c r="AJ588" s="24"/>
      <c r="AK588" s="24">
        <v>158746.51999999999</v>
      </c>
      <c r="AL588" s="24">
        <f>+'Gov Rev'!AI585-'Gov Exp'!AE588+'Gov Exp'!AI588-'Gov Exp'!AK588</f>
        <v>0</v>
      </c>
      <c r="AM588" s="15" t="str">
        <f>'Gov Rev'!A585</f>
        <v>Scott</v>
      </c>
      <c r="AN588" s="15" t="str">
        <f t="shared" si="25"/>
        <v>Scott</v>
      </c>
      <c r="AO588" s="15" t="b">
        <f t="shared" si="26"/>
        <v>1</v>
      </c>
    </row>
    <row r="589" spans="1:41" ht="12" customHeight="1" x14ac:dyDescent="0.2">
      <c r="A589" s="15" t="s">
        <v>674</v>
      </c>
      <c r="C589" s="15" t="s">
        <v>659</v>
      </c>
      <c r="D589" s="28"/>
      <c r="E589" s="24">
        <v>96314</v>
      </c>
      <c r="G589" s="24">
        <v>2582</v>
      </c>
      <c r="I589" s="24">
        <v>0</v>
      </c>
      <c r="K589" s="24">
        <v>0</v>
      </c>
      <c r="M589" s="24">
        <v>0</v>
      </c>
      <c r="O589" s="24">
        <v>0</v>
      </c>
      <c r="Q589" s="24">
        <v>139965</v>
      </c>
      <c r="S589" s="24">
        <v>73838</v>
      </c>
      <c r="U589" s="24">
        <v>0</v>
      </c>
      <c r="W589" s="24">
        <v>0</v>
      </c>
      <c r="Y589" s="24">
        <v>0</v>
      </c>
      <c r="AA589" s="24">
        <v>0</v>
      </c>
      <c r="AC589" s="24">
        <v>0</v>
      </c>
      <c r="AE589" s="24">
        <f t="shared" si="24"/>
        <v>312699</v>
      </c>
      <c r="AF589" s="24"/>
      <c r="AG589" s="24">
        <f>'Gov Rev'!AI586-'Gov Exp'!AE589</f>
        <v>-7274</v>
      </c>
      <c r="AH589" s="24"/>
      <c r="AI589" s="24">
        <f>AK589-AG589</f>
        <v>74979</v>
      </c>
      <c r="AJ589" s="24"/>
      <c r="AK589" s="24">
        <f>56384+11321</f>
        <v>67705</v>
      </c>
      <c r="AL589" s="24">
        <f>+'Gov Rev'!AI586-'Gov Exp'!AE589+'Gov Exp'!AI589-'Gov Exp'!AK589</f>
        <v>0</v>
      </c>
      <c r="AM589" s="15" t="str">
        <f>'Gov Rev'!A586</f>
        <v>Seaman</v>
      </c>
      <c r="AN589" s="15" t="str">
        <f t="shared" si="25"/>
        <v>Seaman</v>
      </c>
      <c r="AO589" s="15" t="b">
        <f t="shared" si="26"/>
        <v>1</v>
      </c>
    </row>
    <row r="590" spans="1:41" ht="12" customHeight="1" x14ac:dyDescent="0.2">
      <c r="A590" s="15" t="s">
        <v>461</v>
      </c>
      <c r="C590" s="15" t="s">
        <v>462</v>
      </c>
      <c r="E590" s="24">
        <v>967942</v>
      </c>
      <c r="G590" s="24">
        <v>12523</v>
      </c>
      <c r="I590" s="24">
        <v>159548</v>
      </c>
      <c r="K590" s="24">
        <v>0</v>
      </c>
      <c r="M590" s="24">
        <v>0</v>
      </c>
      <c r="O590" s="24">
        <v>284965</v>
      </c>
      <c r="Q590" s="24">
        <v>537131</v>
      </c>
      <c r="S590" s="24">
        <v>106338</v>
      </c>
      <c r="U590" s="24">
        <v>908834</v>
      </c>
      <c r="W590" s="24">
        <v>0</v>
      </c>
      <c r="Y590" s="24">
        <v>0</v>
      </c>
      <c r="AA590" s="24">
        <v>0</v>
      </c>
      <c r="AC590" s="24">
        <v>310591</v>
      </c>
      <c r="AE590" s="24">
        <f t="shared" si="24"/>
        <v>3287872</v>
      </c>
      <c r="AF590" s="24"/>
      <c r="AG590" s="24">
        <v>-54613</v>
      </c>
      <c r="AH590" s="24"/>
      <c r="AI590" s="24">
        <f>AK590-AG590</f>
        <v>822695</v>
      </c>
      <c r="AJ590" s="24"/>
      <c r="AK590" s="24">
        <v>768082</v>
      </c>
      <c r="AL590" s="24">
        <f>+'Gov Rev'!AI587-'Gov Exp'!AE590+'Gov Exp'!AI590-'Gov Exp'!AK590</f>
        <v>0</v>
      </c>
      <c r="AM590" s="15" t="str">
        <f>'Gov Rev'!A587</f>
        <v>Sebring</v>
      </c>
      <c r="AN590" s="15" t="str">
        <f t="shared" si="25"/>
        <v>Sebring</v>
      </c>
      <c r="AO590" s="15" t="b">
        <f t="shared" si="26"/>
        <v>1</v>
      </c>
    </row>
    <row r="591" spans="1:41" ht="12" customHeight="1" x14ac:dyDescent="0.2">
      <c r="A591" s="1" t="s">
        <v>90</v>
      </c>
      <c r="B591" s="1"/>
      <c r="C591" s="1" t="s">
        <v>762</v>
      </c>
      <c r="D591" s="31"/>
      <c r="E591" s="24">
        <v>79997.13</v>
      </c>
      <c r="G591" s="24">
        <v>1188.8800000000001</v>
      </c>
      <c r="I591" s="24">
        <v>173.55</v>
      </c>
      <c r="K591" s="24">
        <v>0</v>
      </c>
      <c r="M591" s="24">
        <v>0</v>
      </c>
      <c r="O591" s="24">
        <v>31432.55</v>
      </c>
      <c r="Q591" s="24">
        <v>25429.77</v>
      </c>
      <c r="S591" s="24">
        <v>0</v>
      </c>
      <c r="U591" s="24">
        <v>25866.19</v>
      </c>
      <c r="W591" s="24">
        <v>2520.25</v>
      </c>
      <c r="Y591" s="24">
        <v>825.12</v>
      </c>
      <c r="AA591" s="24">
        <v>0</v>
      </c>
      <c r="AC591" s="24">
        <v>0</v>
      </c>
      <c r="AE591" s="24">
        <f t="shared" si="24"/>
        <v>167433.44</v>
      </c>
      <c r="AF591" s="24"/>
      <c r="AG591" s="24">
        <v>99111.54</v>
      </c>
      <c r="AH591" s="24"/>
      <c r="AI591" s="24">
        <v>134360.04999999999</v>
      </c>
      <c r="AJ591" s="24"/>
      <c r="AK591" s="24">
        <v>233471.59</v>
      </c>
      <c r="AL591" s="24">
        <f>+'Gov Rev'!AI588-'Gov Exp'!AE591+'Gov Exp'!AI591-'Gov Exp'!AK591</f>
        <v>0</v>
      </c>
      <c r="AM591" s="15" t="str">
        <f>'Gov Rev'!A588</f>
        <v>Senecaville</v>
      </c>
      <c r="AN591" s="15" t="str">
        <f t="shared" si="25"/>
        <v>Senecaville</v>
      </c>
      <c r="AO591" s="15" t="b">
        <f t="shared" si="26"/>
        <v>1</v>
      </c>
    </row>
    <row r="592" spans="1:41" ht="12" customHeight="1" x14ac:dyDescent="0.2">
      <c r="A592" s="1" t="s">
        <v>27</v>
      </c>
      <c r="B592" s="1"/>
      <c r="C592" s="1" t="s">
        <v>743</v>
      </c>
      <c r="D592" s="31"/>
      <c r="E592" s="24">
        <v>87140.61</v>
      </c>
      <c r="G592" s="24">
        <v>0</v>
      </c>
      <c r="I592" s="24">
        <v>2573.75</v>
      </c>
      <c r="K592" s="24">
        <v>0</v>
      </c>
      <c r="M592" s="24">
        <v>618.84</v>
      </c>
      <c r="O592" s="24">
        <v>21227.24</v>
      </c>
      <c r="Q592" s="24">
        <v>54618.15</v>
      </c>
      <c r="S592" s="24">
        <v>2300.35</v>
      </c>
      <c r="U592" s="24">
        <v>0</v>
      </c>
      <c r="W592" s="24">
        <v>0</v>
      </c>
      <c r="Y592" s="24">
        <v>0</v>
      </c>
      <c r="AA592" s="24">
        <v>0</v>
      </c>
      <c r="AC592" s="24">
        <v>0</v>
      </c>
      <c r="AE592" s="24">
        <f t="shared" si="24"/>
        <v>168478.94</v>
      </c>
      <c r="AF592" s="24"/>
      <c r="AG592" s="24">
        <v>1904.34</v>
      </c>
      <c r="AH592" s="24"/>
      <c r="AI592" s="24">
        <v>523322.05</v>
      </c>
      <c r="AJ592" s="24"/>
      <c r="AK592" s="24">
        <v>525226.39</v>
      </c>
      <c r="AL592" s="24">
        <f>+'Gov Rev'!AI589-'Gov Exp'!AE592+'Gov Exp'!AI592-'Gov Exp'!AK592</f>
        <v>0</v>
      </c>
      <c r="AM592" s="15" t="str">
        <f>'Gov Rev'!A589</f>
        <v>Seven Mile</v>
      </c>
      <c r="AN592" s="15" t="str">
        <f t="shared" si="25"/>
        <v>Seven Mile</v>
      </c>
      <c r="AO592" s="15" t="b">
        <f t="shared" si="26"/>
        <v>1</v>
      </c>
    </row>
    <row r="593" spans="1:41" s="31" customFormat="1" ht="12" customHeight="1" x14ac:dyDescent="0.2">
      <c r="A593" s="1" t="s">
        <v>154</v>
      </c>
      <c r="B593" s="1"/>
      <c r="C593" s="1" t="s">
        <v>781</v>
      </c>
      <c r="D593" s="15"/>
      <c r="E593" s="24">
        <v>556127.73</v>
      </c>
      <c r="F593" s="24"/>
      <c r="G593" s="24">
        <v>1288</v>
      </c>
      <c r="H593" s="24"/>
      <c r="I593" s="24">
        <v>93265.38</v>
      </c>
      <c r="J593" s="24"/>
      <c r="K593" s="24">
        <v>15493.4</v>
      </c>
      <c r="L593" s="24"/>
      <c r="M593" s="24">
        <v>0</v>
      </c>
      <c r="N593" s="24"/>
      <c r="O593" s="24">
        <v>304578.92</v>
      </c>
      <c r="P593" s="24"/>
      <c r="Q593" s="24">
        <v>357002.67</v>
      </c>
      <c r="R593" s="24"/>
      <c r="S593" s="24">
        <v>1353874.59</v>
      </c>
      <c r="T593" s="24"/>
      <c r="U593" s="24">
        <v>53666.68</v>
      </c>
      <c r="V593" s="24"/>
      <c r="W593" s="24">
        <v>64770.94</v>
      </c>
      <c r="X593" s="24"/>
      <c r="Y593" s="24">
        <v>1155156.81</v>
      </c>
      <c r="Z593" s="24"/>
      <c r="AA593" s="24">
        <v>0</v>
      </c>
      <c r="AB593" s="24"/>
      <c r="AC593" s="24">
        <v>0</v>
      </c>
      <c r="AD593" s="24"/>
      <c r="AE593" s="24">
        <f t="shared" si="24"/>
        <v>3955225.12</v>
      </c>
      <c r="AF593" s="24"/>
      <c r="AG593" s="24">
        <v>130836.75</v>
      </c>
      <c r="AH593" s="24"/>
      <c r="AI593" s="24">
        <v>1552892.95</v>
      </c>
      <c r="AJ593" s="24"/>
      <c r="AK593" s="24">
        <v>1683729.7</v>
      </c>
      <c r="AL593" s="24">
        <f>+'Gov Rev'!AI590-'Gov Exp'!AE593+'Gov Exp'!AI593-'Gov Exp'!AK593</f>
        <v>0</v>
      </c>
      <c r="AM593" s="15" t="str">
        <f>'Gov Rev'!A590</f>
        <v>Seville</v>
      </c>
      <c r="AN593" s="15" t="str">
        <f t="shared" si="25"/>
        <v>Seville</v>
      </c>
      <c r="AO593" s="15" t="b">
        <f t="shared" si="26"/>
        <v>1</v>
      </c>
    </row>
    <row r="594" spans="1:41" s="31" customFormat="1" ht="12" customHeight="1" x14ac:dyDescent="0.2">
      <c r="A594" s="1" t="s">
        <v>20</v>
      </c>
      <c r="B594" s="1"/>
      <c r="C594" s="1" t="s">
        <v>741</v>
      </c>
      <c r="D594" s="15"/>
      <c r="E594" s="24">
        <v>488679.3</v>
      </c>
      <c r="F594" s="24"/>
      <c r="G594" s="24">
        <v>13063.94</v>
      </c>
      <c r="H594" s="24"/>
      <c r="I594" s="24">
        <v>24846.25</v>
      </c>
      <c r="J594" s="24"/>
      <c r="K594" s="24">
        <v>0</v>
      </c>
      <c r="L594" s="24"/>
      <c r="M594" s="24">
        <v>0</v>
      </c>
      <c r="N594" s="24"/>
      <c r="O594" s="24">
        <v>176978.4</v>
      </c>
      <c r="P594" s="24"/>
      <c r="Q594" s="24">
        <v>189834.56</v>
      </c>
      <c r="R594" s="24"/>
      <c r="S594" s="24">
        <v>7952.74</v>
      </c>
      <c r="T594" s="24"/>
      <c r="U594" s="24">
        <v>121256.65</v>
      </c>
      <c r="V594" s="24"/>
      <c r="W594" s="24">
        <v>8755.89</v>
      </c>
      <c r="X594" s="24"/>
      <c r="Y594" s="24">
        <v>2389</v>
      </c>
      <c r="Z594" s="24"/>
      <c r="AA594" s="24">
        <v>0</v>
      </c>
      <c r="AB594" s="24"/>
      <c r="AC594" s="24">
        <v>63.42</v>
      </c>
      <c r="AD594" s="24"/>
      <c r="AE594" s="24">
        <f t="shared" si="24"/>
        <v>1033820.15</v>
      </c>
      <c r="AF594" s="24"/>
      <c r="AG594" s="24">
        <v>55663.3</v>
      </c>
      <c r="AH594" s="24"/>
      <c r="AI594" s="24">
        <v>1365542.56</v>
      </c>
      <c r="AJ594" s="24"/>
      <c r="AK594" s="24">
        <v>1421205.86</v>
      </c>
      <c r="AL594" s="24">
        <f>+'Gov Rev'!AI591-'Gov Exp'!AE594+'Gov Exp'!AI594-'Gov Exp'!AK594</f>
        <v>0</v>
      </c>
      <c r="AM594" s="15" t="str">
        <f>'Gov Rev'!A591</f>
        <v>Shadyside</v>
      </c>
      <c r="AN594" s="15" t="str">
        <f t="shared" si="25"/>
        <v>Shadyside</v>
      </c>
      <c r="AO594" s="15" t="b">
        <f t="shared" si="26"/>
        <v>1</v>
      </c>
    </row>
    <row r="595" spans="1:41" s="37" customFormat="1" ht="12" customHeight="1" x14ac:dyDescent="0.2">
      <c r="A595" s="1" t="s">
        <v>187</v>
      </c>
      <c r="B595" s="1"/>
      <c r="C595" s="1" t="s">
        <v>433</v>
      </c>
      <c r="D595" s="15"/>
      <c r="E595" s="24">
        <v>52824.87</v>
      </c>
      <c r="F595" s="24"/>
      <c r="G595" s="24">
        <v>11069</v>
      </c>
      <c r="H595" s="24"/>
      <c r="I595" s="24">
        <v>0</v>
      </c>
      <c r="J595" s="24"/>
      <c r="K595" s="24">
        <v>0</v>
      </c>
      <c r="L595" s="24"/>
      <c r="M595" s="24">
        <v>0</v>
      </c>
      <c r="N595" s="24"/>
      <c r="O595" s="24">
        <v>21273.93</v>
      </c>
      <c r="P595" s="24"/>
      <c r="Q595" s="24">
        <v>47655.83</v>
      </c>
      <c r="R595" s="24"/>
      <c r="S595" s="24">
        <v>0</v>
      </c>
      <c r="T595" s="24"/>
      <c r="U595" s="24">
        <v>0</v>
      </c>
      <c r="V595" s="24"/>
      <c r="W595" s="24">
        <v>0</v>
      </c>
      <c r="X595" s="24"/>
      <c r="Y595" s="24">
        <v>0</v>
      </c>
      <c r="Z595" s="24"/>
      <c r="AA595" s="24">
        <v>0</v>
      </c>
      <c r="AB595" s="24"/>
      <c r="AC595" s="24">
        <v>28431.78</v>
      </c>
      <c r="AD595" s="24"/>
      <c r="AE595" s="24">
        <f t="shared" si="24"/>
        <v>161255.41</v>
      </c>
      <c r="AF595" s="24"/>
      <c r="AG595" s="24">
        <v>-19379.96</v>
      </c>
      <c r="AH595" s="24"/>
      <c r="AI595" s="24">
        <v>197825.82</v>
      </c>
      <c r="AJ595" s="24"/>
      <c r="AK595" s="24">
        <v>178445.86</v>
      </c>
      <c r="AL595" s="24">
        <f>+'Gov Rev'!AI592-'Gov Exp'!AE595+'Gov Exp'!AI595-'Gov Exp'!AK595</f>
        <v>0</v>
      </c>
      <c r="AM595" s="15" t="str">
        <f>'Gov Rev'!A592</f>
        <v>Shawnee</v>
      </c>
      <c r="AN595" s="15" t="str">
        <f t="shared" si="25"/>
        <v>Shawnee</v>
      </c>
      <c r="AO595" s="15" t="b">
        <f t="shared" si="26"/>
        <v>1</v>
      </c>
    </row>
    <row r="596" spans="1:41" ht="12" customHeight="1" x14ac:dyDescent="0.2">
      <c r="A596" s="1" t="s">
        <v>345</v>
      </c>
      <c r="B596" s="1"/>
      <c r="C596" s="1" t="s">
        <v>343</v>
      </c>
      <c r="E596" s="24">
        <v>396569.99</v>
      </c>
      <c r="G596" s="24">
        <v>0</v>
      </c>
      <c r="I596" s="24">
        <v>2368.48</v>
      </c>
      <c r="K596" s="24">
        <v>57585.88</v>
      </c>
      <c r="M596" s="24">
        <v>0</v>
      </c>
      <c r="O596" s="24">
        <v>34640.68</v>
      </c>
      <c r="Q596" s="24">
        <v>214616.12</v>
      </c>
      <c r="S596" s="24">
        <v>554646.82999999996</v>
      </c>
      <c r="U596" s="24">
        <v>0</v>
      </c>
      <c r="W596" s="24">
        <v>0</v>
      </c>
      <c r="Y596" s="24">
        <v>50000</v>
      </c>
      <c r="AA596" s="24">
        <v>0</v>
      </c>
      <c r="AC596" s="24">
        <v>14708.12</v>
      </c>
      <c r="AE596" s="24">
        <f t="shared" si="24"/>
        <v>1325136.1000000001</v>
      </c>
      <c r="AF596" s="24"/>
      <c r="AG596" s="24">
        <v>336918.15</v>
      </c>
      <c r="AH596" s="24"/>
      <c r="AI596" s="24">
        <v>412655.33</v>
      </c>
      <c r="AJ596" s="24"/>
      <c r="AK596" s="24">
        <v>749573.48</v>
      </c>
      <c r="AL596" s="24">
        <f>+'Gov Rev'!AI593-'Gov Exp'!AE596+'Gov Exp'!AI596-'Gov Exp'!AK596</f>
        <v>0</v>
      </c>
      <c r="AM596" s="15" t="str">
        <f>'Gov Rev'!A593</f>
        <v>Shawnee Hills</v>
      </c>
      <c r="AN596" s="15" t="str">
        <f t="shared" si="25"/>
        <v>Shawnee Hills</v>
      </c>
      <c r="AO596" s="15" t="b">
        <f t="shared" si="26"/>
        <v>1</v>
      </c>
    </row>
    <row r="597" spans="1:41" ht="12" customHeight="1" x14ac:dyDescent="0.2">
      <c r="A597" s="15" t="s">
        <v>452</v>
      </c>
      <c r="C597" s="15" t="s">
        <v>451</v>
      </c>
      <c r="E597" s="24">
        <v>2908999</v>
      </c>
      <c r="G597" s="24">
        <v>0</v>
      </c>
      <c r="I597" s="24">
        <v>38857</v>
      </c>
      <c r="K597" s="24">
        <v>8334</v>
      </c>
      <c r="M597" s="24">
        <v>59111</v>
      </c>
      <c r="O597" s="24">
        <v>294559</v>
      </c>
      <c r="Q597" s="24">
        <v>1025851</v>
      </c>
      <c r="S597" s="24">
        <v>1274047</v>
      </c>
      <c r="U597" s="24">
        <v>1082276</v>
      </c>
      <c r="W597" s="24">
        <v>214000</v>
      </c>
      <c r="Y597" s="24">
        <v>1198163</v>
      </c>
      <c r="AA597" s="24">
        <v>0</v>
      </c>
      <c r="AC597" s="24">
        <v>0</v>
      </c>
      <c r="AE597" s="24">
        <f t="shared" si="24"/>
        <v>8104197</v>
      </c>
      <c r="AF597" s="24"/>
      <c r="AG597" s="24">
        <v>-72402</v>
      </c>
      <c r="AH597" s="24"/>
      <c r="AI597" s="24">
        <v>1267336</v>
      </c>
      <c r="AJ597" s="24"/>
      <c r="AK597" s="24">
        <v>1194834</v>
      </c>
      <c r="AL597" s="24">
        <f>+'Gov Rev'!AI594-'Gov Exp'!AE597+'Gov Exp'!AI597-'Gov Exp'!AK597</f>
        <v>0</v>
      </c>
      <c r="AM597" s="15" t="str">
        <f>'Gov Rev'!A594</f>
        <v>Sheffield</v>
      </c>
      <c r="AN597" s="15" t="str">
        <f t="shared" si="25"/>
        <v>Sheffield</v>
      </c>
      <c r="AO597" s="15" t="b">
        <f t="shared" si="26"/>
        <v>1</v>
      </c>
    </row>
    <row r="598" spans="1:41" ht="12" customHeight="1" x14ac:dyDescent="0.2">
      <c r="A598" s="1" t="s">
        <v>31</v>
      </c>
      <c r="B598" s="1"/>
      <c r="C598" s="1" t="s">
        <v>744</v>
      </c>
      <c r="E598" s="24">
        <v>17946.88</v>
      </c>
      <c r="G598" s="24">
        <v>45.75</v>
      </c>
      <c r="I598" s="24">
        <v>149.97999999999999</v>
      </c>
      <c r="K598" s="24">
        <v>0</v>
      </c>
      <c r="M598" s="24">
        <v>12382.01</v>
      </c>
      <c r="O598" s="24">
        <v>10962</v>
      </c>
      <c r="Q598" s="24">
        <v>33378.92</v>
      </c>
      <c r="S598" s="24">
        <v>0</v>
      </c>
      <c r="U598" s="24">
        <v>0</v>
      </c>
      <c r="W598" s="24">
        <v>0</v>
      </c>
      <c r="Y598" s="24">
        <v>5000</v>
      </c>
      <c r="AA598" s="24">
        <v>0</v>
      </c>
      <c r="AC598" s="24">
        <v>1976.79</v>
      </c>
      <c r="AE598" s="24">
        <f t="shared" si="24"/>
        <v>81842.33</v>
      </c>
      <c r="AF598" s="24"/>
      <c r="AG598" s="24">
        <v>-263.81</v>
      </c>
      <c r="AH598" s="24"/>
      <c r="AI598" s="24">
        <v>83799.7</v>
      </c>
      <c r="AJ598" s="24"/>
      <c r="AK598" s="24">
        <v>83535.89</v>
      </c>
      <c r="AL598" s="24">
        <f>+'Gov Rev'!AI595-'Gov Exp'!AE598+'Gov Exp'!AI598-'Gov Exp'!AK598</f>
        <v>0</v>
      </c>
      <c r="AM598" s="15" t="str">
        <f>'Gov Rev'!A595</f>
        <v>Sherrodsville</v>
      </c>
      <c r="AN598" s="15" t="str">
        <f t="shared" si="25"/>
        <v>Sherrodsville</v>
      </c>
      <c r="AO598" s="15" t="b">
        <f t="shared" si="26"/>
        <v>1</v>
      </c>
    </row>
    <row r="599" spans="1:41" ht="12" customHeight="1" x14ac:dyDescent="0.2">
      <c r="A599" s="1" t="s">
        <v>56</v>
      </c>
      <c r="B599" s="1"/>
      <c r="C599" s="1" t="s">
        <v>753</v>
      </c>
      <c r="E599" s="24">
        <v>82194.53</v>
      </c>
      <c r="G599" s="24">
        <v>2093.0300000000002</v>
      </c>
      <c r="I599" s="24">
        <v>32971.699999999997</v>
      </c>
      <c r="K599" s="24">
        <v>538.25</v>
      </c>
      <c r="M599" s="24">
        <v>0</v>
      </c>
      <c r="O599" s="24">
        <v>78349.460000000006</v>
      </c>
      <c r="Q599" s="24">
        <v>119207.58</v>
      </c>
      <c r="S599" s="24">
        <v>10542.44</v>
      </c>
      <c r="U599" s="24">
        <v>19058.560000000001</v>
      </c>
      <c r="W599" s="24">
        <v>4557.4399999999996</v>
      </c>
      <c r="Y599" s="24">
        <v>22498.52</v>
      </c>
      <c r="AA599" s="24">
        <v>37150</v>
      </c>
      <c r="AC599" s="24">
        <v>0</v>
      </c>
      <c r="AE599" s="24">
        <f t="shared" si="24"/>
        <v>409161.51</v>
      </c>
      <c r="AF599" s="24"/>
      <c r="AG599" s="24">
        <v>345.12</v>
      </c>
      <c r="AH599" s="24"/>
      <c r="AI599" s="24">
        <v>252489.41</v>
      </c>
      <c r="AJ599" s="24"/>
      <c r="AK599" s="24">
        <v>252834.53</v>
      </c>
      <c r="AL599" s="24">
        <f>+'Gov Rev'!AI596-'Gov Exp'!AE599+'Gov Exp'!AI599-'Gov Exp'!AK599</f>
        <v>0</v>
      </c>
      <c r="AM599" s="15" t="str">
        <f>'Gov Rev'!A596</f>
        <v>Sherwood</v>
      </c>
      <c r="AN599" s="15" t="str">
        <f t="shared" si="25"/>
        <v>Sherwood</v>
      </c>
      <c r="AO599" s="15" t="b">
        <f t="shared" si="26"/>
        <v>1</v>
      </c>
    </row>
    <row r="600" spans="1:41" ht="12" customHeight="1" x14ac:dyDescent="0.2">
      <c r="A600" s="24" t="s">
        <v>521</v>
      </c>
      <c r="B600" s="24"/>
      <c r="C600" s="24" t="s">
        <v>519</v>
      </c>
      <c r="D600" s="24"/>
      <c r="E600" s="24">
        <v>9163</v>
      </c>
      <c r="G600" s="24">
        <v>508</v>
      </c>
      <c r="I600" s="24">
        <v>2953</v>
      </c>
      <c r="K600" s="24">
        <v>1461</v>
      </c>
      <c r="M600" s="24">
        <v>0</v>
      </c>
      <c r="O600" s="24">
        <v>54020</v>
      </c>
      <c r="Q600" s="24">
        <v>65649</v>
      </c>
      <c r="S600" s="24">
        <v>0</v>
      </c>
      <c r="U600" s="24">
        <v>529</v>
      </c>
      <c r="W600" s="24">
        <v>0</v>
      </c>
      <c r="Y600" s="24">
        <v>0</v>
      </c>
      <c r="AA600" s="24">
        <v>0</v>
      </c>
      <c r="AC600" s="24">
        <v>0</v>
      </c>
      <c r="AE600" s="24">
        <f t="shared" si="24"/>
        <v>134283</v>
      </c>
      <c r="AF600" s="24"/>
      <c r="AG600" s="24">
        <v>33730</v>
      </c>
      <c r="AH600" s="24"/>
      <c r="AI600" s="24">
        <v>33977</v>
      </c>
      <c r="AJ600" s="24"/>
      <c r="AK600" s="24">
        <v>67707</v>
      </c>
      <c r="AL600" s="24">
        <f>+'Gov Rev'!AI597-'Gov Exp'!AE600+'Gov Exp'!AI600-'Gov Exp'!AK600</f>
        <v>0</v>
      </c>
      <c r="AM600" s="15" t="str">
        <f>'Gov Rev'!A597</f>
        <v>Shiloh</v>
      </c>
      <c r="AN600" s="15" t="str">
        <f t="shared" si="25"/>
        <v>Shiloh</v>
      </c>
      <c r="AO600" s="15" t="b">
        <f t="shared" si="26"/>
        <v>1</v>
      </c>
    </row>
    <row r="601" spans="1:41" ht="12" customHeight="1" x14ac:dyDescent="0.2">
      <c r="A601" s="15" t="s">
        <v>897</v>
      </c>
      <c r="C601" s="15" t="s">
        <v>588</v>
      </c>
      <c r="E601" s="24">
        <v>275199</v>
      </c>
      <c r="G601" s="24">
        <v>0</v>
      </c>
      <c r="I601" s="24">
        <v>0</v>
      </c>
      <c r="K601" s="24">
        <v>0</v>
      </c>
      <c r="M601" s="24">
        <v>0</v>
      </c>
      <c r="O601" s="24">
        <v>65049</v>
      </c>
      <c r="Q601" s="24">
        <v>116723</v>
      </c>
      <c r="S601" s="24">
        <v>10804</v>
      </c>
      <c r="U601" s="24">
        <v>0</v>
      </c>
      <c r="W601" s="24">
        <v>0</v>
      </c>
      <c r="Y601" s="24">
        <v>5500</v>
      </c>
      <c r="AA601" s="24">
        <v>0</v>
      </c>
      <c r="AC601" s="24">
        <v>16486</v>
      </c>
      <c r="AE601" s="24">
        <f t="shared" si="24"/>
        <v>489761</v>
      </c>
      <c r="AF601" s="24"/>
      <c r="AG601" s="24">
        <v>-2530</v>
      </c>
      <c r="AH601" s="24"/>
      <c r="AI601" s="24">
        <v>121031</v>
      </c>
      <c r="AJ601" s="24"/>
      <c r="AK601" s="24">
        <v>118501</v>
      </c>
      <c r="AL601" s="24">
        <f>+'Gov Rev'!AI598-'Gov Exp'!AE601+'Gov Exp'!AI601-'Gov Exp'!AK601</f>
        <v>0</v>
      </c>
      <c r="AM601" s="15" t="str">
        <f>'Gov Rev'!A598</f>
        <v>Shreve</v>
      </c>
      <c r="AN601" s="15" t="str">
        <f t="shared" si="25"/>
        <v>Shreve</v>
      </c>
      <c r="AO601" s="15" t="b">
        <f t="shared" si="26"/>
        <v>1</v>
      </c>
    </row>
    <row r="602" spans="1:41" ht="12" customHeight="1" x14ac:dyDescent="0.2">
      <c r="A602" s="15" t="s">
        <v>554</v>
      </c>
      <c r="C602" s="15" t="s">
        <v>549</v>
      </c>
      <c r="E602" s="24">
        <v>1026594</v>
      </c>
      <c r="G602" s="24">
        <v>28984</v>
      </c>
      <c r="I602" s="24">
        <v>73211</v>
      </c>
      <c r="K602" s="24">
        <v>2586</v>
      </c>
      <c r="M602" s="24">
        <v>0</v>
      </c>
      <c r="O602" s="24">
        <v>398693</v>
      </c>
      <c r="Q602" s="24">
        <v>475506</v>
      </c>
      <c r="S602" s="24">
        <v>187049</v>
      </c>
      <c r="U602" s="24">
        <v>10000</v>
      </c>
      <c r="W602" s="24">
        <v>2768</v>
      </c>
      <c r="Y602" s="24">
        <v>21537</v>
      </c>
      <c r="AA602" s="24">
        <v>0</v>
      </c>
      <c r="AC602" s="24">
        <v>0</v>
      </c>
      <c r="AE602" s="24">
        <f t="shared" si="24"/>
        <v>2226928</v>
      </c>
      <c r="AF602" s="24"/>
      <c r="AG602" s="24">
        <v>-79316</v>
      </c>
      <c r="AH602" s="24"/>
      <c r="AI602" s="24">
        <v>2268443</v>
      </c>
      <c r="AJ602" s="24"/>
      <c r="AK602" s="24">
        <v>2189127</v>
      </c>
      <c r="AL602" s="24">
        <f>+'Gov Rev'!AI599-'Gov Exp'!AE602+'Gov Exp'!AI602-'Gov Exp'!AK602</f>
        <v>0</v>
      </c>
      <c r="AM602" s="15" t="str">
        <f>'Gov Rev'!A599</f>
        <v>Silver Lake</v>
      </c>
      <c r="AN602" s="15" t="str">
        <f t="shared" si="25"/>
        <v>Silver Lake</v>
      </c>
      <c r="AO602" s="15" t="b">
        <f t="shared" si="26"/>
        <v>1</v>
      </c>
    </row>
    <row r="603" spans="1:41" s="31" customFormat="1" ht="12" customHeight="1" x14ac:dyDescent="0.2">
      <c r="A603" s="15" t="s">
        <v>941</v>
      </c>
      <c r="B603" s="15"/>
      <c r="C603" s="15" t="s">
        <v>378</v>
      </c>
      <c r="D603" s="15"/>
      <c r="E603" s="24">
        <v>1387135</v>
      </c>
      <c r="F603" s="24"/>
      <c r="G603" s="24">
        <v>5031</v>
      </c>
      <c r="H603" s="24"/>
      <c r="I603" s="24">
        <v>12271</v>
      </c>
      <c r="J603" s="24"/>
      <c r="K603" s="24">
        <v>396219</v>
      </c>
      <c r="L603" s="24"/>
      <c r="M603" s="24">
        <v>0</v>
      </c>
      <c r="N603" s="24"/>
      <c r="O603" s="24">
        <v>280733</v>
      </c>
      <c r="P603" s="24"/>
      <c r="Q603" s="24">
        <v>652906</v>
      </c>
      <c r="R603" s="24"/>
      <c r="S603" s="24">
        <v>405973</v>
      </c>
      <c r="T603" s="24"/>
      <c r="U603" s="24">
        <v>114513</v>
      </c>
      <c r="V603" s="24"/>
      <c r="W603" s="24">
        <v>11470</v>
      </c>
      <c r="X603" s="24"/>
      <c r="Y603" s="24">
        <v>260500</v>
      </c>
      <c r="Z603" s="24"/>
      <c r="AA603" s="24">
        <v>0</v>
      </c>
      <c r="AB603" s="24"/>
      <c r="AC603" s="24">
        <v>0</v>
      </c>
      <c r="AD603" s="24"/>
      <c r="AE603" s="24">
        <f t="shared" si="24"/>
        <v>3526751</v>
      </c>
      <c r="AF603" s="24"/>
      <c r="AG603" s="24">
        <v>-271062</v>
      </c>
      <c r="AH603" s="24"/>
      <c r="AI603" s="24">
        <v>1960565</v>
      </c>
      <c r="AJ603" s="24"/>
      <c r="AK603" s="24">
        <v>1689503</v>
      </c>
      <c r="AL603" s="24">
        <f>+'Gov Rev'!AI600-'Gov Exp'!AE603+'Gov Exp'!AI603-'Gov Exp'!AK603</f>
        <v>0</v>
      </c>
      <c r="AM603" s="15" t="str">
        <f>'Gov Rev'!A600</f>
        <v>Silverton</v>
      </c>
      <c r="AN603" s="15" t="str">
        <f t="shared" si="25"/>
        <v>Silverton</v>
      </c>
      <c r="AO603" s="15" t="b">
        <f t="shared" si="26"/>
        <v>1</v>
      </c>
    </row>
    <row r="604" spans="1:41" ht="12" customHeight="1" x14ac:dyDescent="0.2">
      <c r="A604" s="15" t="s">
        <v>411</v>
      </c>
      <c r="C604" s="15" t="s">
        <v>409</v>
      </c>
      <c r="E604" s="24">
        <v>5323</v>
      </c>
      <c r="G604" s="24">
        <v>2500</v>
      </c>
      <c r="I604" s="24">
        <v>0</v>
      </c>
      <c r="K604" s="24">
        <v>0</v>
      </c>
      <c r="M604" s="24">
        <v>0</v>
      </c>
      <c r="O604" s="24">
        <v>4380</v>
      </c>
      <c r="Q604" s="24">
        <v>10236</v>
      </c>
      <c r="S604" s="24">
        <v>32261</v>
      </c>
      <c r="U604" s="24">
        <v>0</v>
      </c>
      <c r="W604" s="24">
        <v>0</v>
      </c>
      <c r="Y604" s="24">
        <v>0</v>
      </c>
      <c r="AA604" s="24">
        <v>0</v>
      </c>
      <c r="AC604" s="24">
        <v>0</v>
      </c>
      <c r="AE604" s="24">
        <f t="shared" ref="AE604:AE670" si="27">SUM(E604:AC604)</f>
        <v>54700</v>
      </c>
      <c r="AF604" s="24"/>
      <c r="AG604" s="24">
        <f>5919+2896-28761</f>
        <v>-19946</v>
      </c>
      <c r="AH604" s="24"/>
      <c r="AI604" s="24">
        <f>81475+42720+32261</f>
        <v>156456</v>
      </c>
      <c r="AJ604" s="24"/>
      <c r="AK604" s="24">
        <f>87394+45617+6500</f>
        <v>139511</v>
      </c>
      <c r="AL604" s="24">
        <f>+'Gov Rev'!AI601-'Gov Exp'!AE604+'Gov Exp'!AI604-'Gov Exp'!AK604</f>
        <v>0</v>
      </c>
      <c r="AM604" s="15" t="str">
        <f>'Gov Rev'!A601</f>
        <v>Sinking Spring</v>
      </c>
      <c r="AN604" s="15" t="str">
        <f t="shared" ref="AN604:AN670" si="28">A604</f>
        <v>Sinking Spring</v>
      </c>
      <c r="AO604" s="15" t="b">
        <f t="shared" ref="AO604:AO670" si="29">AM604=AN604</f>
        <v>1</v>
      </c>
    </row>
    <row r="605" spans="1:41" ht="12" customHeight="1" x14ac:dyDescent="0.2">
      <c r="A605" s="15" t="s">
        <v>594</v>
      </c>
      <c r="C605" s="15" t="s">
        <v>588</v>
      </c>
      <c r="E605" s="24">
        <v>307979</v>
      </c>
      <c r="G605" s="24">
        <v>19136</v>
      </c>
      <c r="I605" s="24">
        <v>39478</v>
      </c>
      <c r="K605" s="24">
        <v>16387</v>
      </c>
      <c r="M605" s="24">
        <v>3150</v>
      </c>
      <c r="O605" s="24">
        <v>164051</v>
      </c>
      <c r="Q605" s="24">
        <v>136416</v>
      </c>
      <c r="S605" s="24">
        <v>0</v>
      </c>
      <c r="U605" s="24">
        <v>1454</v>
      </c>
      <c r="W605" s="24">
        <v>0</v>
      </c>
      <c r="Y605" s="24">
        <v>171452</v>
      </c>
      <c r="AA605" s="24">
        <v>0</v>
      </c>
      <c r="AC605" s="24">
        <v>0</v>
      </c>
      <c r="AE605" s="24">
        <f t="shared" si="27"/>
        <v>859503</v>
      </c>
      <c r="AF605" s="24"/>
      <c r="AG605" s="24">
        <v>25376</v>
      </c>
      <c r="AH605" s="24"/>
      <c r="AI605" s="24">
        <v>925736</v>
      </c>
      <c r="AJ605" s="24"/>
      <c r="AK605" s="24">
        <f>153044+798068</f>
        <v>951112</v>
      </c>
      <c r="AL605" s="24">
        <f>+'Gov Rev'!AI602-'Gov Exp'!AE605+'Gov Exp'!AI605-'Gov Exp'!AK605</f>
        <v>0</v>
      </c>
      <c r="AM605" s="15" t="str">
        <f>'Gov Rev'!A602</f>
        <v>Smithville</v>
      </c>
      <c r="AN605" s="15" t="str">
        <f t="shared" si="28"/>
        <v>Smithville</v>
      </c>
      <c r="AO605" s="15" t="b">
        <f t="shared" si="29"/>
        <v>1</v>
      </c>
    </row>
    <row r="606" spans="1:41" s="31" customFormat="1" ht="12" hidden="1" customHeight="1" x14ac:dyDescent="0.2">
      <c r="A606" s="15" t="s">
        <v>502</v>
      </c>
      <c r="B606" s="15"/>
      <c r="C606" s="15" t="s">
        <v>500</v>
      </c>
      <c r="D606" s="15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>
        <f t="shared" si="27"/>
        <v>0</v>
      </c>
      <c r="AF606" s="24"/>
      <c r="AG606" s="24"/>
      <c r="AH606" s="24"/>
      <c r="AI606" s="24"/>
      <c r="AJ606" s="24"/>
      <c r="AK606" s="24"/>
      <c r="AL606" s="24">
        <f>+'Gov Rev'!AI603-'Gov Exp'!AE606+'Gov Exp'!AI606-'Gov Exp'!AK606</f>
        <v>0</v>
      </c>
      <c r="AM606" s="15" t="str">
        <f>'Gov Rev'!A603</f>
        <v>Somerset</v>
      </c>
      <c r="AN606" s="15" t="str">
        <f t="shared" si="28"/>
        <v>Somerset</v>
      </c>
      <c r="AO606" s="15" t="b">
        <f t="shared" si="29"/>
        <v>1</v>
      </c>
    </row>
    <row r="607" spans="1:41" ht="12" customHeight="1" x14ac:dyDescent="0.2">
      <c r="A607" s="1" t="s">
        <v>935</v>
      </c>
      <c r="B607" s="1"/>
      <c r="C607" s="1" t="s">
        <v>518</v>
      </c>
      <c r="E607" s="24">
        <v>24254.79</v>
      </c>
      <c r="G607" s="24">
        <v>0</v>
      </c>
      <c r="I607" s="24">
        <v>0</v>
      </c>
      <c r="K607" s="24">
        <v>0</v>
      </c>
      <c r="M607" s="24">
        <v>0</v>
      </c>
      <c r="O607" s="24">
        <v>33816.06</v>
      </c>
      <c r="Q607" s="24">
        <v>30598.25</v>
      </c>
      <c r="S607" s="24">
        <v>0</v>
      </c>
      <c r="U607" s="24">
        <v>0</v>
      </c>
      <c r="W607" s="24">
        <v>0</v>
      </c>
      <c r="Y607" s="24">
        <v>0</v>
      </c>
      <c r="AA607" s="24">
        <v>0</v>
      </c>
      <c r="AC607" s="24">
        <v>0</v>
      </c>
      <c r="AE607" s="24">
        <f t="shared" si="27"/>
        <v>88669.1</v>
      </c>
      <c r="AF607" s="24"/>
      <c r="AG607" s="24">
        <v>-22192.67</v>
      </c>
      <c r="AH607" s="24"/>
      <c r="AI607" s="24">
        <v>50736.21</v>
      </c>
      <c r="AJ607" s="24"/>
      <c r="AK607" s="24">
        <v>28543.54</v>
      </c>
      <c r="AL607" s="24">
        <f>+'Gov Rev'!AI604-'Gov Exp'!AE607+'Gov Exp'!AI607-'Gov Exp'!AK607</f>
        <v>0</v>
      </c>
      <c r="AM607" s="15" t="str">
        <f>'Gov Rev'!A604</f>
        <v>Somerville</v>
      </c>
      <c r="AN607" s="15" t="str">
        <f t="shared" si="28"/>
        <v>Somerville</v>
      </c>
      <c r="AO607" s="15" t="b">
        <f t="shared" si="29"/>
        <v>1</v>
      </c>
    </row>
    <row r="608" spans="1:41" ht="12" customHeight="1" x14ac:dyDescent="0.2">
      <c r="A608" s="15" t="s">
        <v>898</v>
      </c>
      <c r="C608" s="15" t="s">
        <v>451</v>
      </c>
      <c r="E608" s="24">
        <v>458886</v>
      </c>
      <c r="G608" s="24">
        <v>47047</v>
      </c>
      <c r="I608" s="24">
        <v>42749</v>
      </c>
      <c r="K608" s="24">
        <v>5917</v>
      </c>
      <c r="M608" s="24">
        <v>0</v>
      </c>
      <c r="O608" s="24">
        <v>121690</v>
      </c>
      <c r="Q608" s="24">
        <v>264430</v>
      </c>
      <c r="S608" s="24">
        <v>78106</v>
      </c>
      <c r="U608" s="24">
        <v>0</v>
      </c>
      <c r="W608" s="24">
        <v>0</v>
      </c>
      <c r="Y608" s="24">
        <v>108000</v>
      </c>
      <c r="AA608" s="24">
        <v>40000</v>
      </c>
      <c r="AC608" s="24">
        <v>0</v>
      </c>
      <c r="AE608" s="24">
        <f t="shared" si="27"/>
        <v>1166825</v>
      </c>
      <c r="AF608" s="24"/>
      <c r="AG608" s="24">
        <v>-50615</v>
      </c>
      <c r="AH608" s="24"/>
      <c r="AI608" s="24">
        <v>1395062</v>
      </c>
      <c r="AJ608" s="24"/>
      <c r="AK608" s="24">
        <v>1344447</v>
      </c>
      <c r="AL608" s="24">
        <f>+'Gov Rev'!AI608-'Gov Exp'!AE608+'Gov Exp'!AI608-'Gov Exp'!AK608</f>
        <v>0</v>
      </c>
      <c r="AM608" s="15" t="str">
        <f>'Gov Rev'!A608</f>
        <v>South Amherst</v>
      </c>
      <c r="AN608" s="15" t="str">
        <f t="shared" si="28"/>
        <v>South Amherst</v>
      </c>
      <c r="AO608" s="15" t="b">
        <f t="shared" si="29"/>
        <v>1</v>
      </c>
    </row>
    <row r="609" spans="1:41" ht="12" customHeight="1" x14ac:dyDescent="0.2">
      <c r="A609" s="15" t="s">
        <v>268</v>
      </c>
      <c r="C609" s="15" t="s">
        <v>793</v>
      </c>
      <c r="E609" s="24">
        <v>283060.5</v>
      </c>
      <c r="G609" s="24">
        <v>0</v>
      </c>
      <c r="I609" s="24">
        <v>1730.82</v>
      </c>
      <c r="K609" s="24">
        <v>5376.95</v>
      </c>
      <c r="M609" s="24">
        <v>182821.39</v>
      </c>
      <c r="O609" s="24">
        <v>99554.07</v>
      </c>
      <c r="Q609" s="24">
        <v>152950.1</v>
      </c>
      <c r="S609" s="24">
        <v>16473.43</v>
      </c>
      <c r="U609" s="24">
        <v>0</v>
      </c>
      <c r="W609" s="24">
        <v>0</v>
      </c>
      <c r="Y609" s="24">
        <v>0</v>
      </c>
      <c r="AA609" s="24">
        <v>0</v>
      </c>
      <c r="AC609" s="24">
        <v>14133.12</v>
      </c>
      <c r="AE609" s="24">
        <f t="shared" si="27"/>
        <v>756100.38</v>
      </c>
      <c r="AF609" s="24"/>
      <c r="AG609" s="24">
        <v>-80906.7</v>
      </c>
      <c r="AH609" s="24"/>
      <c r="AI609" s="24">
        <v>272054.99</v>
      </c>
      <c r="AJ609" s="24"/>
      <c r="AK609" s="24">
        <v>191148.29</v>
      </c>
      <c r="AL609" s="24">
        <f>+'Gov Rev'!AI609-'Gov Exp'!AE609+'Gov Exp'!AI609-'Gov Exp'!AK609</f>
        <v>0</v>
      </c>
      <c r="AM609" s="15" t="str">
        <f>'Gov Rev'!A609</f>
        <v>South Bloomfield</v>
      </c>
      <c r="AN609" s="15" t="str">
        <f t="shared" si="28"/>
        <v>South Bloomfield</v>
      </c>
      <c r="AO609" s="15" t="b">
        <f t="shared" si="29"/>
        <v>1</v>
      </c>
    </row>
    <row r="610" spans="1:41" s="31" customFormat="1" ht="12" customHeight="1" x14ac:dyDescent="0.2">
      <c r="A610" s="1" t="s">
        <v>821</v>
      </c>
      <c r="B610" s="1"/>
      <c r="C610" s="1" t="s">
        <v>746</v>
      </c>
      <c r="D610" s="15"/>
      <c r="E610" s="24">
        <v>174848.37</v>
      </c>
      <c r="F610" s="24"/>
      <c r="G610" s="24">
        <v>15132.2</v>
      </c>
      <c r="H610" s="24"/>
      <c r="I610" s="24">
        <v>0</v>
      </c>
      <c r="J610" s="24"/>
      <c r="K610" s="24">
        <v>0</v>
      </c>
      <c r="L610" s="24"/>
      <c r="M610" s="24">
        <v>0</v>
      </c>
      <c r="N610" s="24"/>
      <c r="O610" s="24">
        <v>35026.269999999997</v>
      </c>
      <c r="P610" s="24"/>
      <c r="Q610" s="24">
        <v>417283.07</v>
      </c>
      <c r="R610" s="24"/>
      <c r="S610" s="24">
        <v>396093.01</v>
      </c>
      <c r="T610" s="24"/>
      <c r="U610" s="24">
        <v>12814.6</v>
      </c>
      <c r="V610" s="24"/>
      <c r="W610" s="24">
        <v>521.17999999999995</v>
      </c>
      <c r="X610" s="24"/>
      <c r="Y610" s="24">
        <v>0</v>
      </c>
      <c r="Z610" s="24"/>
      <c r="AA610" s="24">
        <v>0</v>
      </c>
      <c r="AB610" s="24"/>
      <c r="AC610" s="24">
        <v>1269.98</v>
      </c>
      <c r="AD610" s="24"/>
      <c r="AE610" s="24">
        <f t="shared" si="27"/>
        <v>1052988.68</v>
      </c>
      <c r="AF610" s="24"/>
      <c r="AG610" s="24">
        <v>50393.760000000002</v>
      </c>
      <c r="AH610" s="24"/>
      <c r="AI610" s="24">
        <v>344885.34</v>
      </c>
      <c r="AJ610" s="24"/>
      <c r="AK610" s="24">
        <v>395279.1</v>
      </c>
      <c r="AL610" s="24">
        <f>+'Gov Rev'!AI610-'Gov Exp'!AE610+'Gov Exp'!AI610-'Gov Exp'!AK610</f>
        <v>0</v>
      </c>
      <c r="AM610" s="15" t="str">
        <f>'Gov Rev'!A610</f>
        <v>South Charleston</v>
      </c>
      <c r="AN610" s="15" t="str">
        <f t="shared" si="28"/>
        <v>South Charleston</v>
      </c>
      <c r="AO610" s="15" t="b">
        <f t="shared" si="29"/>
        <v>1</v>
      </c>
    </row>
    <row r="611" spans="1:41" s="31" customFormat="1" ht="12" customHeight="1" x14ac:dyDescent="0.2">
      <c r="A611" s="1" t="s">
        <v>582</v>
      </c>
      <c r="B611" s="1"/>
      <c r="C611" s="1" t="s">
        <v>581</v>
      </c>
      <c r="D611" s="15"/>
      <c r="E611" s="24">
        <v>617754.43999999994</v>
      </c>
      <c r="F611" s="24"/>
      <c r="G611" s="24">
        <v>0</v>
      </c>
      <c r="H611" s="24"/>
      <c r="I611" s="24">
        <v>120134.01</v>
      </c>
      <c r="J611" s="24"/>
      <c r="K611" s="24">
        <v>0</v>
      </c>
      <c r="L611" s="24"/>
      <c r="M611" s="24">
        <v>44373.71</v>
      </c>
      <c r="N611" s="24"/>
      <c r="O611" s="24">
        <v>121003.87</v>
      </c>
      <c r="P611" s="24"/>
      <c r="Q611" s="24">
        <v>561542.39</v>
      </c>
      <c r="R611" s="24"/>
      <c r="S611" s="24">
        <v>81835.509999999995</v>
      </c>
      <c r="T611" s="24"/>
      <c r="U611" s="24">
        <v>0</v>
      </c>
      <c r="V611" s="24"/>
      <c r="W611" s="24">
        <v>0</v>
      </c>
      <c r="X611" s="24"/>
      <c r="Y611" s="24">
        <v>0</v>
      </c>
      <c r="Z611" s="24"/>
      <c r="AA611" s="24">
        <v>0</v>
      </c>
      <c r="AB611" s="24"/>
      <c r="AC611" s="24">
        <v>0</v>
      </c>
      <c r="AD611" s="24"/>
      <c r="AE611" s="24">
        <f t="shared" si="27"/>
        <v>1546643.93</v>
      </c>
      <c r="AF611" s="24"/>
      <c r="AG611" s="24">
        <v>144221.51999999999</v>
      </c>
      <c r="AH611" s="24"/>
      <c r="AI611" s="24">
        <v>2120701.4</v>
      </c>
      <c r="AJ611" s="24"/>
      <c r="AK611" s="24">
        <v>2264922.92</v>
      </c>
      <c r="AL611" s="24">
        <f>+'Gov Rev'!AI611-'Gov Exp'!AE611+'Gov Exp'!AI611-'Gov Exp'!AK611</f>
        <v>0</v>
      </c>
      <c r="AM611" s="15" t="str">
        <f>'Gov Rev'!A611</f>
        <v>South Lebanon</v>
      </c>
      <c r="AN611" s="15" t="str">
        <f t="shared" si="28"/>
        <v>South Lebanon</v>
      </c>
      <c r="AO611" s="15" t="b">
        <f t="shared" si="29"/>
        <v>1</v>
      </c>
    </row>
    <row r="612" spans="1:41" s="31" customFormat="1" ht="12" customHeight="1" x14ac:dyDescent="0.2">
      <c r="A612" s="1" t="s">
        <v>128</v>
      </c>
      <c r="B612" s="1"/>
      <c r="C612" s="1" t="s">
        <v>437</v>
      </c>
      <c r="D612" s="15"/>
      <c r="E612" s="24">
        <v>338534.29</v>
      </c>
      <c r="F612" s="24"/>
      <c r="G612" s="24">
        <v>2105.1</v>
      </c>
      <c r="H612" s="24"/>
      <c r="I612" s="24">
        <v>0</v>
      </c>
      <c r="J612" s="24"/>
      <c r="K612" s="24">
        <v>0</v>
      </c>
      <c r="L612" s="24"/>
      <c r="M612" s="24">
        <v>0</v>
      </c>
      <c r="N612" s="24"/>
      <c r="O612" s="24">
        <v>206957.09</v>
      </c>
      <c r="P612" s="24"/>
      <c r="Q612" s="24">
        <v>82584.27</v>
      </c>
      <c r="R612" s="24"/>
      <c r="S612" s="24">
        <v>167333.93</v>
      </c>
      <c r="T612" s="24"/>
      <c r="U612" s="24">
        <v>16552.900000000001</v>
      </c>
      <c r="V612" s="24"/>
      <c r="W612" s="24">
        <v>5340</v>
      </c>
      <c r="X612" s="24"/>
      <c r="Y612" s="24">
        <v>23435</v>
      </c>
      <c r="Z612" s="24"/>
      <c r="AA612" s="24">
        <v>0</v>
      </c>
      <c r="AB612" s="24"/>
      <c r="AC612" s="24">
        <v>1034.05</v>
      </c>
      <c r="AD612" s="24"/>
      <c r="AE612" s="24">
        <f t="shared" si="27"/>
        <v>843876.63</v>
      </c>
      <c r="AF612" s="24"/>
      <c r="AG612" s="24">
        <v>20803.330000000002</v>
      </c>
      <c r="AH612" s="24"/>
      <c r="AI612" s="24">
        <v>356231.93</v>
      </c>
      <c r="AJ612" s="24"/>
      <c r="AK612" s="24">
        <v>377035.26</v>
      </c>
      <c r="AL612" s="24">
        <f>+'Gov Rev'!AI612-'Gov Exp'!AE612+'Gov Exp'!AI612-'Gov Exp'!AK612</f>
        <v>0</v>
      </c>
      <c r="AM612" s="15" t="str">
        <f>'Gov Rev'!A612</f>
        <v>South Point</v>
      </c>
      <c r="AN612" s="15" t="str">
        <f t="shared" si="28"/>
        <v>South Point</v>
      </c>
      <c r="AO612" s="15" t="b">
        <f t="shared" si="29"/>
        <v>1</v>
      </c>
    </row>
    <row r="613" spans="1:41" ht="12" customHeight="1" x14ac:dyDescent="0.2">
      <c r="A613" s="15" t="s">
        <v>369</v>
      </c>
      <c r="C613" s="15" t="s">
        <v>368</v>
      </c>
      <c r="E613" s="24">
        <v>1481559</v>
      </c>
      <c r="G613" s="24">
        <v>705</v>
      </c>
      <c r="I613" s="24">
        <v>0</v>
      </c>
      <c r="K613" s="24">
        <v>179770</v>
      </c>
      <c r="M613" s="24">
        <v>0</v>
      </c>
      <c r="O613" s="24">
        <v>348972</v>
      </c>
      <c r="Q613" s="24">
        <v>820956</v>
      </c>
      <c r="S613" s="24">
        <v>203830</v>
      </c>
      <c r="U613" s="24">
        <v>0</v>
      </c>
      <c r="W613" s="24">
        <v>0</v>
      </c>
      <c r="Y613" s="24">
        <v>1463542</v>
      </c>
      <c r="AA613" s="24">
        <v>0</v>
      </c>
      <c r="AC613" s="24">
        <v>0</v>
      </c>
      <c r="AE613" s="24">
        <f t="shared" si="27"/>
        <v>4499334</v>
      </c>
      <c r="AF613" s="24"/>
      <c r="AG613" s="24">
        <v>580689</v>
      </c>
      <c r="AH613" s="24"/>
      <c r="AI613" s="24">
        <v>1893085</v>
      </c>
      <c r="AJ613" s="24"/>
      <c r="AK613" s="24">
        <v>2473774</v>
      </c>
      <c r="AL613" s="24">
        <f>+'Gov Rev'!AI613-'Gov Exp'!AE613+'Gov Exp'!AI613-'Gov Exp'!AK613</f>
        <v>0</v>
      </c>
      <c r="AM613" s="15" t="str">
        <f>'Gov Rev'!A613</f>
        <v>South Russell</v>
      </c>
      <c r="AN613" s="15" t="str">
        <f t="shared" si="28"/>
        <v>South Russell</v>
      </c>
      <c r="AO613" s="15" t="b">
        <f t="shared" si="29"/>
        <v>1</v>
      </c>
    </row>
    <row r="614" spans="1:41" ht="12" customHeight="1" x14ac:dyDescent="0.2">
      <c r="A614" s="1" t="s">
        <v>522</v>
      </c>
      <c r="B614" s="1"/>
      <c r="C614" s="1" t="s">
        <v>523</v>
      </c>
      <c r="E614" s="24">
        <v>4945.38</v>
      </c>
      <c r="G614" s="24">
        <v>0</v>
      </c>
      <c r="I614" s="24">
        <v>0</v>
      </c>
      <c r="K614" s="24">
        <v>0</v>
      </c>
      <c r="M614" s="24">
        <v>0</v>
      </c>
      <c r="O614" s="24">
        <v>13058.23</v>
      </c>
      <c r="Q614" s="24">
        <v>14056.48</v>
      </c>
      <c r="S614" s="24">
        <v>0</v>
      </c>
      <c r="U614" s="24">
        <v>0</v>
      </c>
      <c r="W614" s="24">
        <v>0</v>
      </c>
      <c r="Y614" s="24">
        <v>0</v>
      </c>
      <c r="AA614" s="24">
        <v>0</v>
      </c>
      <c r="AC614" s="24">
        <v>0</v>
      </c>
      <c r="AE614" s="24">
        <f t="shared" si="27"/>
        <v>32060.09</v>
      </c>
      <c r="AF614" s="24"/>
      <c r="AG614" s="24">
        <v>-2899.88</v>
      </c>
      <c r="AH614" s="24"/>
      <c r="AI614" s="24">
        <v>126715.47</v>
      </c>
      <c r="AJ614" s="24"/>
      <c r="AK614" s="24">
        <v>123815.59</v>
      </c>
      <c r="AL614" s="24">
        <f>+'Gov Rev'!AI614-'Gov Exp'!AE614+'Gov Exp'!AI614-'Gov Exp'!AK614</f>
        <v>0</v>
      </c>
      <c r="AM614" s="15" t="str">
        <f>'Gov Rev'!A614</f>
        <v>South Salem</v>
      </c>
      <c r="AN614" s="15" t="str">
        <f t="shared" si="28"/>
        <v>South Salem</v>
      </c>
      <c r="AO614" s="15" t="b">
        <f t="shared" si="29"/>
        <v>1</v>
      </c>
    </row>
    <row r="615" spans="1:41" s="29" customFormat="1" ht="12" customHeight="1" x14ac:dyDescent="0.2">
      <c r="A615" s="1" t="s">
        <v>142</v>
      </c>
      <c r="B615" s="1"/>
      <c r="C615" s="1" t="s">
        <v>778</v>
      </c>
      <c r="D615" s="15"/>
      <c r="E615" s="24">
        <v>6723</v>
      </c>
      <c r="F615" s="24"/>
      <c r="G615" s="24">
        <v>0</v>
      </c>
      <c r="H615" s="24"/>
      <c r="I615" s="24">
        <v>200</v>
      </c>
      <c r="J615" s="24"/>
      <c r="K615" s="24">
        <v>0</v>
      </c>
      <c r="L615" s="24"/>
      <c r="M615" s="24">
        <v>5013.25</v>
      </c>
      <c r="N615" s="24"/>
      <c r="O615" s="24">
        <v>30233.46</v>
      </c>
      <c r="P615" s="24"/>
      <c r="Q615" s="24">
        <v>44643.199999999997</v>
      </c>
      <c r="R615" s="24"/>
      <c r="S615" s="24">
        <v>107471.94</v>
      </c>
      <c r="T615" s="24"/>
      <c r="U615" s="24">
        <v>0</v>
      </c>
      <c r="V615" s="24"/>
      <c r="W615" s="24">
        <v>0</v>
      </c>
      <c r="X615" s="24"/>
      <c r="Y615" s="24">
        <v>0</v>
      </c>
      <c r="Z615" s="24"/>
      <c r="AA615" s="24">
        <v>0</v>
      </c>
      <c r="AB615" s="24"/>
      <c r="AC615" s="24">
        <v>0</v>
      </c>
      <c r="AD615" s="24"/>
      <c r="AE615" s="24">
        <f t="shared" si="27"/>
        <v>194284.85</v>
      </c>
      <c r="AF615" s="24"/>
      <c r="AG615" s="24">
        <v>-46340.84</v>
      </c>
      <c r="AH615" s="24"/>
      <c r="AI615" s="24">
        <v>87858.29</v>
      </c>
      <c r="AJ615" s="24"/>
      <c r="AK615" s="24">
        <v>41517.449999999997</v>
      </c>
      <c r="AL615" s="24">
        <f>+'Gov Rev'!AI615-'Gov Exp'!AE615+'Gov Exp'!AI615-'Gov Exp'!AK615</f>
        <v>0</v>
      </c>
      <c r="AM615" s="15" t="str">
        <f>'Gov Rev'!A615</f>
        <v>South Solon</v>
      </c>
      <c r="AN615" s="15" t="str">
        <f t="shared" si="28"/>
        <v>South Solon</v>
      </c>
      <c r="AO615" s="15" t="b">
        <f t="shared" si="29"/>
        <v>1</v>
      </c>
    </row>
    <row r="616" spans="1:41" ht="12" customHeight="1" x14ac:dyDescent="0.2">
      <c r="A616" s="1" t="s">
        <v>35</v>
      </c>
      <c r="B616" s="1"/>
      <c r="C616" s="1" t="s">
        <v>292</v>
      </c>
      <c r="E616" s="24">
        <v>67003.31</v>
      </c>
      <c r="G616" s="24">
        <v>0</v>
      </c>
      <c r="I616" s="24">
        <v>2313.71</v>
      </c>
      <c r="K616" s="24">
        <v>0</v>
      </c>
      <c r="M616" s="24">
        <v>2474.46</v>
      </c>
      <c r="O616" s="24">
        <v>6106.4</v>
      </c>
      <c r="Q616" s="24">
        <v>41282.720000000001</v>
      </c>
      <c r="S616" s="24">
        <v>0</v>
      </c>
      <c r="U616" s="24">
        <v>0</v>
      </c>
      <c r="W616" s="24">
        <v>0</v>
      </c>
      <c r="Y616" s="24">
        <v>0</v>
      </c>
      <c r="AA616" s="24">
        <v>0</v>
      </c>
      <c r="AC616" s="24">
        <v>0</v>
      </c>
      <c r="AE616" s="24">
        <f t="shared" si="27"/>
        <v>119180.6</v>
      </c>
      <c r="AF616" s="24"/>
      <c r="AG616" s="24">
        <v>-5267.94</v>
      </c>
      <c r="AH616" s="24"/>
      <c r="AI616" s="24">
        <v>421075</v>
      </c>
      <c r="AJ616" s="24"/>
      <c r="AK616" s="24">
        <v>415807.06</v>
      </c>
      <c r="AL616" s="24">
        <f>+'Gov Rev'!AI616-'Gov Exp'!AE616+'Gov Exp'!AI616-'Gov Exp'!AK616</f>
        <v>0</v>
      </c>
      <c r="AM616" s="15" t="str">
        <f>'Gov Rev'!A616</f>
        <v>South Vienna</v>
      </c>
      <c r="AN616" s="15" t="str">
        <f t="shared" si="28"/>
        <v>South Vienna</v>
      </c>
      <c r="AO616" s="15" t="b">
        <f t="shared" si="29"/>
        <v>1</v>
      </c>
    </row>
    <row r="617" spans="1:41" s="31" customFormat="1" ht="12" customHeight="1" x14ac:dyDescent="0.2">
      <c r="A617" s="1" t="s">
        <v>217</v>
      </c>
      <c r="B617" s="1"/>
      <c r="C617" s="1" t="s">
        <v>529</v>
      </c>
      <c r="D617" s="15"/>
      <c r="E617" s="24">
        <v>13489.79</v>
      </c>
      <c r="F617" s="24"/>
      <c r="G617" s="24">
        <v>3132.13</v>
      </c>
      <c r="H617" s="24"/>
      <c r="I617" s="24">
        <v>0</v>
      </c>
      <c r="J617" s="24"/>
      <c r="K617" s="24">
        <v>0</v>
      </c>
      <c r="L617" s="24"/>
      <c r="M617" s="24">
        <v>4889.96</v>
      </c>
      <c r="N617" s="24"/>
      <c r="O617" s="24">
        <v>41687.51</v>
      </c>
      <c r="P617" s="24"/>
      <c r="Q617" s="24">
        <v>22141.69</v>
      </c>
      <c r="R617" s="24"/>
      <c r="S617" s="24">
        <v>0</v>
      </c>
      <c r="T617" s="24"/>
      <c r="U617" s="24">
        <v>0</v>
      </c>
      <c r="V617" s="24"/>
      <c r="W617" s="24">
        <v>0</v>
      </c>
      <c r="X617" s="24"/>
      <c r="Y617" s="24">
        <v>0</v>
      </c>
      <c r="Z617" s="24"/>
      <c r="AA617" s="24">
        <v>0</v>
      </c>
      <c r="AB617" s="24"/>
      <c r="AC617" s="24">
        <v>0</v>
      </c>
      <c r="AD617" s="24"/>
      <c r="AE617" s="24">
        <f t="shared" si="27"/>
        <v>85341.08</v>
      </c>
      <c r="AF617" s="24"/>
      <c r="AG617" s="24">
        <v>-6560.71</v>
      </c>
      <c r="AH617" s="24"/>
      <c r="AI617" s="24">
        <v>133845.72</v>
      </c>
      <c r="AJ617" s="24"/>
      <c r="AK617" s="24">
        <v>127285.01</v>
      </c>
      <c r="AL617" s="24">
        <f>+'Gov Rev'!AI617-'Gov Exp'!AE617+'Gov Exp'!AI617-'Gov Exp'!AK617</f>
        <v>0</v>
      </c>
      <c r="AM617" s="15" t="str">
        <f>'Gov Rev'!A617</f>
        <v>South Webster</v>
      </c>
      <c r="AN617" s="15" t="str">
        <f t="shared" si="28"/>
        <v>South Webster</v>
      </c>
      <c r="AO617" s="15" t="b">
        <f t="shared" si="29"/>
        <v>1</v>
      </c>
    </row>
    <row r="618" spans="1:41" s="31" customFormat="1" ht="12" customHeight="1" x14ac:dyDescent="0.2">
      <c r="A618" s="1" t="s">
        <v>827</v>
      </c>
      <c r="B618" s="1"/>
      <c r="C618" s="1" t="s">
        <v>243</v>
      </c>
      <c r="D618" s="15"/>
      <c r="E618" s="24">
        <v>3501.14</v>
      </c>
      <c r="F618" s="24"/>
      <c r="G618" s="24">
        <v>0</v>
      </c>
      <c r="H618" s="24"/>
      <c r="I618" s="24">
        <v>0</v>
      </c>
      <c r="J618" s="24"/>
      <c r="K618" s="24">
        <v>0</v>
      </c>
      <c r="L618" s="24"/>
      <c r="M618" s="24">
        <v>0</v>
      </c>
      <c r="N618" s="24"/>
      <c r="O618" s="24">
        <v>565</v>
      </c>
      <c r="P618" s="24"/>
      <c r="Q618" s="24">
        <v>14469.91</v>
      </c>
      <c r="R618" s="24"/>
      <c r="S618" s="24">
        <v>0</v>
      </c>
      <c r="T618" s="24"/>
      <c r="U618" s="24">
        <v>0</v>
      </c>
      <c r="V618" s="24"/>
      <c r="W618" s="24">
        <v>0</v>
      </c>
      <c r="X618" s="24"/>
      <c r="Y618" s="24">
        <v>0</v>
      </c>
      <c r="Z618" s="24"/>
      <c r="AA618" s="24">
        <v>0</v>
      </c>
      <c r="AB618" s="24"/>
      <c r="AC618" s="24">
        <v>0</v>
      </c>
      <c r="AD618" s="24"/>
      <c r="AE618" s="24">
        <f t="shared" si="27"/>
        <v>18536.05</v>
      </c>
      <c r="AF618" s="24"/>
      <c r="AG618" s="24">
        <v>13153.84</v>
      </c>
      <c r="AH618" s="24"/>
      <c r="AI618" s="24">
        <v>51936.89</v>
      </c>
      <c r="AJ618" s="24"/>
      <c r="AK618" s="24">
        <v>65090.73</v>
      </c>
      <c r="AL618" s="24">
        <f>+'Gov Rev'!AI618-'Gov Exp'!AE618+'Gov Exp'!AI618-'Gov Exp'!AK618</f>
        <v>0</v>
      </c>
      <c r="AM618" s="15" t="str">
        <f>'Gov Rev'!A618</f>
        <v>Sparta</v>
      </c>
      <c r="AN618" s="15" t="str">
        <f t="shared" si="28"/>
        <v>Sparta</v>
      </c>
      <c r="AO618" s="15" t="b">
        <f t="shared" si="29"/>
        <v>1</v>
      </c>
    </row>
    <row r="619" spans="1:41" s="31" customFormat="1" ht="12" customHeight="1" x14ac:dyDescent="0.2">
      <c r="A619" s="1" t="s">
        <v>843</v>
      </c>
      <c r="B619" s="1"/>
      <c r="C619" s="1" t="s">
        <v>781</v>
      </c>
      <c r="D619" s="15"/>
      <c r="E619" s="24">
        <v>163367.94</v>
      </c>
      <c r="F619" s="24"/>
      <c r="G619" s="24">
        <v>0</v>
      </c>
      <c r="H619" s="24"/>
      <c r="I619" s="24">
        <v>19258.22</v>
      </c>
      <c r="J619" s="24"/>
      <c r="K619" s="24">
        <v>2770.8</v>
      </c>
      <c r="L619" s="24"/>
      <c r="M619" s="24">
        <v>996.59</v>
      </c>
      <c r="N619" s="24"/>
      <c r="O619" s="24">
        <v>70993.47</v>
      </c>
      <c r="P619" s="24"/>
      <c r="Q619" s="24">
        <v>199252.8</v>
      </c>
      <c r="R619" s="24"/>
      <c r="S619" s="24">
        <v>0</v>
      </c>
      <c r="T619" s="24"/>
      <c r="U619" s="24">
        <v>0</v>
      </c>
      <c r="V619" s="24"/>
      <c r="W619" s="24">
        <v>0</v>
      </c>
      <c r="X619" s="24"/>
      <c r="Y619" s="24">
        <v>150000</v>
      </c>
      <c r="Z619" s="24"/>
      <c r="AA619" s="24">
        <v>0</v>
      </c>
      <c r="AB619" s="24"/>
      <c r="AC619" s="24">
        <v>0</v>
      </c>
      <c r="AD619" s="24"/>
      <c r="AE619" s="24">
        <f t="shared" si="27"/>
        <v>606639.81999999995</v>
      </c>
      <c r="AF619" s="24"/>
      <c r="AG619" s="24">
        <v>131913.78</v>
      </c>
      <c r="AH619" s="24"/>
      <c r="AI619" s="24">
        <v>406508.05</v>
      </c>
      <c r="AJ619" s="24"/>
      <c r="AK619" s="24">
        <v>538421.82999999996</v>
      </c>
      <c r="AL619" s="24">
        <f>+'Gov Rev'!AI619-'Gov Exp'!AE619+'Gov Exp'!AI619-'Gov Exp'!AK619</f>
        <v>0</v>
      </c>
      <c r="AM619" s="15" t="str">
        <f>'Gov Rev'!A619</f>
        <v>Spencer</v>
      </c>
      <c r="AN619" s="15" t="str">
        <f t="shared" si="28"/>
        <v>Spencer</v>
      </c>
      <c r="AO619" s="15" t="b">
        <f t="shared" si="29"/>
        <v>1</v>
      </c>
    </row>
    <row r="620" spans="1:41" s="31" customFormat="1" ht="12" customHeight="1" x14ac:dyDescent="0.2">
      <c r="A620" s="1" t="s">
        <v>6</v>
      </c>
      <c r="B620" s="1"/>
      <c r="C620" s="1" t="s">
        <v>737</v>
      </c>
      <c r="D620" s="15"/>
      <c r="E620" s="24">
        <v>366335.3</v>
      </c>
      <c r="F620" s="24"/>
      <c r="G620" s="24">
        <v>5850.79</v>
      </c>
      <c r="H620" s="24"/>
      <c r="I620" s="24">
        <v>2457.46</v>
      </c>
      <c r="J620" s="24"/>
      <c r="K620" s="24">
        <v>0</v>
      </c>
      <c r="L620" s="24"/>
      <c r="M620" s="24">
        <v>0</v>
      </c>
      <c r="N620" s="24"/>
      <c r="O620" s="24">
        <v>142404.84</v>
      </c>
      <c r="P620" s="24"/>
      <c r="Q620" s="24">
        <v>111164.87</v>
      </c>
      <c r="R620" s="24"/>
      <c r="S620" s="24">
        <v>107114.94</v>
      </c>
      <c r="T620" s="24"/>
      <c r="U620" s="24">
        <v>61492.5</v>
      </c>
      <c r="V620" s="24"/>
      <c r="W620" s="24">
        <v>16712.5</v>
      </c>
      <c r="X620" s="24"/>
      <c r="Y620" s="24">
        <v>397959.85</v>
      </c>
      <c r="Z620" s="24"/>
      <c r="AA620" s="24">
        <v>0</v>
      </c>
      <c r="AB620" s="24"/>
      <c r="AC620" s="24">
        <v>0</v>
      </c>
      <c r="AD620" s="24"/>
      <c r="AE620" s="24">
        <f t="shared" si="27"/>
        <v>1211493.0499999998</v>
      </c>
      <c r="AF620" s="24"/>
      <c r="AG620" s="24">
        <v>-41882.47</v>
      </c>
      <c r="AH620" s="24"/>
      <c r="AI620" s="24">
        <v>735919.74</v>
      </c>
      <c r="AJ620" s="24"/>
      <c r="AK620" s="24">
        <v>694037.27</v>
      </c>
      <c r="AL620" s="24">
        <f>+'Gov Rev'!AI620-'Gov Exp'!AE620+'Gov Exp'!AI620-'Gov Exp'!AK620</f>
        <v>0</v>
      </c>
      <c r="AM620" s="15" t="str">
        <f>'Gov Rev'!A620</f>
        <v>Spencerville</v>
      </c>
      <c r="AN620" s="15" t="str">
        <f t="shared" si="28"/>
        <v>Spencerville</v>
      </c>
      <c r="AO620" s="15" t="b">
        <f t="shared" si="29"/>
        <v>1</v>
      </c>
    </row>
    <row r="621" spans="1:41" ht="12" customHeight="1" x14ac:dyDescent="0.2">
      <c r="A621" s="1" t="s">
        <v>85</v>
      </c>
      <c r="B621" s="1"/>
      <c r="C621" s="1" t="s">
        <v>761</v>
      </c>
      <c r="E621" s="24">
        <v>17275.71</v>
      </c>
      <c r="G621" s="24">
        <v>974.79</v>
      </c>
      <c r="I621" s="24">
        <v>0</v>
      </c>
      <c r="K621" s="24">
        <v>625</v>
      </c>
      <c r="M621" s="24">
        <v>3888.18</v>
      </c>
      <c r="O621" s="24">
        <v>120030.1</v>
      </c>
      <c r="Q621" s="24">
        <v>35868.54</v>
      </c>
      <c r="S621" s="24">
        <v>0</v>
      </c>
      <c r="U621" s="24">
        <v>0</v>
      </c>
      <c r="W621" s="24">
        <v>0</v>
      </c>
      <c r="Y621" s="24">
        <v>0</v>
      </c>
      <c r="AA621" s="24">
        <v>0</v>
      </c>
      <c r="AC621" s="24">
        <v>0</v>
      </c>
      <c r="AE621" s="24">
        <f t="shared" si="27"/>
        <v>178662.32</v>
      </c>
      <c r="AF621" s="24"/>
      <c r="AG621" s="24">
        <v>22409.5</v>
      </c>
      <c r="AH621" s="24"/>
      <c r="AI621" s="24">
        <v>168748.25</v>
      </c>
      <c r="AJ621" s="24"/>
      <c r="AK621" s="24">
        <v>191157.75</v>
      </c>
      <c r="AL621" s="24">
        <f>+'Gov Rev'!AI621-'Gov Exp'!AE621+'Gov Exp'!AI621-'Gov Exp'!AK621</f>
        <v>0</v>
      </c>
      <c r="AM621" s="15" t="str">
        <f>'Gov Rev'!A621</f>
        <v>Spring Valley</v>
      </c>
      <c r="AN621" s="15" t="str">
        <f t="shared" si="28"/>
        <v>Spring Valley</v>
      </c>
      <c r="AO621" s="15" t="b">
        <f t="shared" si="29"/>
        <v>1</v>
      </c>
    </row>
    <row r="622" spans="1:41" ht="12" customHeight="1" x14ac:dyDescent="0.2">
      <c r="A622" s="15" t="s">
        <v>966</v>
      </c>
      <c r="C622" s="15" t="s">
        <v>378</v>
      </c>
      <c r="D622" s="28"/>
      <c r="E622" s="24">
        <v>4746324</v>
      </c>
      <c r="G622" s="24">
        <v>66077</v>
      </c>
      <c r="I622" s="24">
        <v>342720</v>
      </c>
      <c r="K622" s="24">
        <v>706266</v>
      </c>
      <c r="M622" s="24">
        <v>0</v>
      </c>
      <c r="O622" s="24">
        <v>390404</v>
      </c>
      <c r="Q622" s="24">
        <f>7178729+1827848</f>
        <v>9006577</v>
      </c>
      <c r="S622" s="24">
        <v>1466071</v>
      </c>
      <c r="U622" s="24">
        <v>842300</v>
      </c>
      <c r="W622" s="24">
        <v>289895</v>
      </c>
      <c r="Y622" s="24">
        <v>2365155</v>
      </c>
      <c r="AA622" s="24">
        <v>0</v>
      </c>
      <c r="AC622" s="24">
        <v>0</v>
      </c>
      <c r="AE622" s="24">
        <f t="shared" si="27"/>
        <v>20221789</v>
      </c>
      <c r="AF622" s="24"/>
      <c r="AG622" s="24">
        <v>-1770291</v>
      </c>
      <c r="AH622" s="24"/>
      <c r="AI622" s="24">
        <f>6176867-12846</f>
        <v>6164021</v>
      </c>
      <c r="AJ622" s="24"/>
      <c r="AK622" s="24">
        <v>4393730</v>
      </c>
      <c r="AL622" s="24">
        <f>+'Gov Rev'!AI622-'Gov Exp'!AE622+'Gov Exp'!AI622-'Gov Exp'!AK622</f>
        <v>0</v>
      </c>
      <c r="AM622" s="15" t="str">
        <f>'Gov Rev'!A622</f>
        <v>St. Bernard</v>
      </c>
      <c r="AN622" s="15" t="str">
        <f t="shared" si="28"/>
        <v>St. Bernard</v>
      </c>
      <c r="AO622" s="15" t="b">
        <f t="shared" si="29"/>
        <v>1</v>
      </c>
    </row>
    <row r="623" spans="1:41" ht="12" customHeight="1" x14ac:dyDescent="0.2">
      <c r="A623" s="37" t="s">
        <v>443</v>
      </c>
      <c r="B623" s="37"/>
      <c r="C623" s="37" t="s">
        <v>439</v>
      </c>
      <c r="D623" s="37"/>
      <c r="E623" s="24">
        <v>37559</v>
      </c>
      <c r="G623" s="24">
        <v>730</v>
      </c>
      <c r="I623" s="24">
        <v>3886</v>
      </c>
      <c r="K623" s="24">
        <v>889</v>
      </c>
      <c r="M623" s="24">
        <v>0</v>
      </c>
      <c r="O623" s="24">
        <v>20405</v>
      </c>
      <c r="Q623" s="24">
        <v>43821</v>
      </c>
      <c r="S623" s="24">
        <v>0</v>
      </c>
      <c r="U623" s="24">
        <v>0</v>
      </c>
      <c r="W623" s="24">
        <v>0</v>
      </c>
      <c r="Y623" s="24">
        <v>0</v>
      </c>
      <c r="AA623" s="24">
        <v>0</v>
      </c>
      <c r="AC623" s="24">
        <v>0</v>
      </c>
      <c r="AE623" s="24">
        <f t="shared" si="27"/>
        <v>107290</v>
      </c>
      <c r="AF623" s="24"/>
      <c r="AG623" s="24">
        <v>2694</v>
      </c>
      <c r="AH623" s="24"/>
      <c r="AI623" s="24">
        <f>AK623-AG623</f>
        <v>23590</v>
      </c>
      <c r="AJ623" s="24"/>
      <c r="AK623" s="24">
        <v>26284</v>
      </c>
      <c r="AL623" s="24">
        <f>+'Gov Rev'!AI623-'Gov Exp'!AE623+'Gov Exp'!AI623-'Gov Exp'!AK623</f>
        <v>0</v>
      </c>
      <c r="AM623" s="15" t="str">
        <f>'Gov Rev'!A623</f>
        <v>St. Louisville</v>
      </c>
      <c r="AN623" s="15" t="str">
        <f t="shared" si="28"/>
        <v>St. Louisville</v>
      </c>
      <c r="AO623" s="15" t="b">
        <f t="shared" si="29"/>
        <v>1</v>
      </c>
    </row>
    <row r="624" spans="1:41" s="31" customFormat="1" ht="12" customHeight="1" x14ac:dyDescent="0.2">
      <c r="A624" s="1" t="s">
        <v>33</v>
      </c>
      <c r="B624" s="1"/>
      <c r="C624" s="1" t="s">
        <v>745</v>
      </c>
      <c r="D624" s="15"/>
      <c r="E624" s="24">
        <v>255289.82</v>
      </c>
      <c r="F624" s="24"/>
      <c r="G624" s="24">
        <v>0</v>
      </c>
      <c r="H624" s="24"/>
      <c r="I624" s="24">
        <v>31182.22</v>
      </c>
      <c r="J624" s="24"/>
      <c r="K624" s="24">
        <v>1400.58</v>
      </c>
      <c r="L624" s="24"/>
      <c r="M624" s="24">
        <v>0</v>
      </c>
      <c r="N624" s="24"/>
      <c r="O624" s="24">
        <v>307967.05</v>
      </c>
      <c r="P624" s="24"/>
      <c r="Q624" s="24">
        <v>119571.59</v>
      </c>
      <c r="R624" s="24"/>
      <c r="S624" s="24">
        <v>0</v>
      </c>
      <c r="T624" s="24"/>
      <c r="U624" s="24">
        <v>7630</v>
      </c>
      <c r="V624" s="24"/>
      <c r="W624" s="24">
        <v>0</v>
      </c>
      <c r="X624" s="24"/>
      <c r="Y624" s="24">
        <v>10500</v>
      </c>
      <c r="Z624" s="24"/>
      <c r="AA624" s="24">
        <v>0</v>
      </c>
      <c r="AB624" s="24"/>
      <c r="AC624" s="24">
        <v>0</v>
      </c>
      <c r="AD624" s="24"/>
      <c r="AE624" s="24">
        <f t="shared" si="27"/>
        <v>733541.26</v>
      </c>
      <c r="AF624" s="24"/>
      <c r="AG624" s="24">
        <v>103834.48</v>
      </c>
      <c r="AH624" s="24"/>
      <c r="AI624" s="24">
        <v>191169.15</v>
      </c>
      <c r="AJ624" s="24"/>
      <c r="AK624" s="24">
        <v>295003.63</v>
      </c>
      <c r="AL624" s="24">
        <f>+'Gov Rev'!AI624-'Gov Exp'!AE624+'Gov Exp'!AI624-'Gov Exp'!AK624</f>
        <v>0</v>
      </c>
      <c r="AM624" s="15" t="str">
        <f>'Gov Rev'!A624</f>
        <v>St. Paris</v>
      </c>
      <c r="AN624" s="15" t="str">
        <f t="shared" si="28"/>
        <v>St. Paris</v>
      </c>
      <c r="AO624" s="15" t="b">
        <f t="shared" si="29"/>
        <v>1</v>
      </c>
    </row>
    <row r="625" spans="1:41" ht="12" customHeight="1" x14ac:dyDescent="0.2">
      <c r="A625" s="15" t="s">
        <v>477</v>
      </c>
      <c r="C625" s="15" t="s">
        <v>474</v>
      </c>
      <c r="E625" s="24">
        <v>3437</v>
      </c>
      <c r="G625" s="24">
        <v>289</v>
      </c>
      <c r="I625" s="24">
        <v>0</v>
      </c>
      <c r="K625" s="24">
        <v>0</v>
      </c>
      <c r="M625" s="24">
        <v>0</v>
      </c>
      <c r="O625" s="24">
        <v>1090</v>
      </c>
      <c r="Q625" s="24">
        <v>2609</v>
      </c>
      <c r="S625" s="24">
        <v>0</v>
      </c>
      <c r="U625" s="24">
        <v>0</v>
      </c>
      <c r="W625" s="24">
        <v>0</v>
      </c>
      <c r="Y625" s="24">
        <v>0</v>
      </c>
      <c r="AA625" s="24">
        <v>0</v>
      </c>
      <c r="AC625" s="24">
        <v>0</v>
      </c>
      <c r="AE625" s="24">
        <f t="shared" si="27"/>
        <v>7425</v>
      </c>
      <c r="AF625" s="24"/>
      <c r="AG625" s="24">
        <v>4338</v>
      </c>
      <c r="AH625" s="24"/>
      <c r="AI625" s="24">
        <v>35809</v>
      </c>
      <c r="AJ625" s="24"/>
      <c r="AK625" s="24">
        <v>40147</v>
      </c>
      <c r="AL625" s="24">
        <f>+'Gov Rev'!AI625-'Gov Exp'!AE625+'Gov Exp'!AI625-'Gov Exp'!AK625</f>
        <v>0</v>
      </c>
      <c r="AM625" s="15" t="str">
        <f>'Gov Rev'!A625</f>
        <v>Stafford</v>
      </c>
      <c r="AN625" s="15" t="str">
        <f t="shared" si="28"/>
        <v>Stafford</v>
      </c>
      <c r="AO625" s="15" t="b">
        <f t="shared" si="29"/>
        <v>1</v>
      </c>
    </row>
    <row r="626" spans="1:41" ht="12" customHeight="1" x14ac:dyDescent="0.2">
      <c r="A626" s="1" t="s">
        <v>169</v>
      </c>
      <c r="B626" s="1"/>
      <c r="C626" s="1" t="s">
        <v>787</v>
      </c>
      <c r="E626" s="24">
        <v>10781.22</v>
      </c>
      <c r="G626" s="24">
        <v>5088.25</v>
      </c>
      <c r="I626" s="24">
        <v>6325.12</v>
      </c>
      <c r="K626" s="24">
        <v>0</v>
      </c>
      <c r="M626" s="24">
        <v>380</v>
      </c>
      <c r="O626" s="24">
        <v>15327.06</v>
      </c>
      <c r="Q626" s="24">
        <v>54111.51</v>
      </c>
      <c r="S626" s="24">
        <v>0</v>
      </c>
      <c r="U626" s="24">
        <v>2134.1999999999998</v>
      </c>
      <c r="W626" s="24">
        <v>600</v>
      </c>
      <c r="Y626" s="24">
        <v>0</v>
      </c>
      <c r="AA626" s="24">
        <v>0</v>
      </c>
      <c r="AC626" s="24">
        <v>128.19999999999999</v>
      </c>
      <c r="AE626" s="24">
        <f t="shared" si="27"/>
        <v>94875.56</v>
      </c>
      <c r="AF626" s="24"/>
      <c r="AG626" s="24">
        <v>8703.2199999999993</v>
      </c>
      <c r="AH626" s="24"/>
      <c r="AI626" s="24">
        <v>54528.57</v>
      </c>
      <c r="AJ626" s="24"/>
      <c r="AK626" s="24">
        <v>63231.79</v>
      </c>
      <c r="AL626" s="24">
        <f>+'Gov Rev'!AI626-'Gov Exp'!AE626+'Gov Exp'!AI626-'Gov Exp'!AK626</f>
        <v>0</v>
      </c>
      <c r="AM626" s="15" t="str">
        <f>'Gov Rev'!A626</f>
        <v>Stockport</v>
      </c>
      <c r="AN626" s="15" t="str">
        <f t="shared" si="28"/>
        <v>Stockport</v>
      </c>
      <c r="AO626" s="15" t="b">
        <f t="shared" si="29"/>
        <v>1</v>
      </c>
    </row>
    <row r="627" spans="1:41" ht="12" customHeight="1" x14ac:dyDescent="0.2">
      <c r="A627" s="1" t="s">
        <v>566</v>
      </c>
      <c r="B627" s="1"/>
      <c r="C627" s="1" t="s">
        <v>560</v>
      </c>
      <c r="E627" s="24">
        <v>4076.99</v>
      </c>
      <c r="G627" s="24">
        <v>666.89</v>
      </c>
      <c r="I627" s="24">
        <v>634.67999999999995</v>
      </c>
      <c r="K627" s="24">
        <v>321.5</v>
      </c>
      <c r="M627" s="24">
        <v>0</v>
      </c>
      <c r="O627" s="24">
        <v>1778.27</v>
      </c>
      <c r="Q627" s="24">
        <v>24838</v>
      </c>
      <c r="S627" s="24">
        <v>0</v>
      </c>
      <c r="U627" s="24">
        <v>0</v>
      </c>
      <c r="W627" s="24">
        <v>0</v>
      </c>
      <c r="Y627" s="24">
        <v>0</v>
      </c>
      <c r="AA627" s="24">
        <v>0</v>
      </c>
      <c r="AC627" s="24">
        <v>27.9</v>
      </c>
      <c r="AE627" s="24">
        <f t="shared" si="27"/>
        <v>32344.230000000003</v>
      </c>
      <c r="AF627" s="24"/>
      <c r="AG627" s="24">
        <v>1564.04</v>
      </c>
      <c r="AH627" s="24"/>
      <c r="AI627" s="24">
        <v>24036.09</v>
      </c>
      <c r="AJ627" s="24"/>
      <c r="AK627" s="24">
        <v>25600.13</v>
      </c>
      <c r="AL627" s="24">
        <f>+'Gov Rev'!AI627-'Gov Exp'!AE627+'Gov Exp'!AI627-'Gov Exp'!AK627</f>
        <v>0</v>
      </c>
      <c r="AM627" s="15" t="str">
        <f>'Gov Rev'!A627</f>
        <v>Stone Creek</v>
      </c>
      <c r="AN627" s="15" t="str">
        <f t="shared" si="28"/>
        <v>Stone Creek</v>
      </c>
      <c r="AO627" s="15" t="b">
        <f t="shared" si="29"/>
        <v>1</v>
      </c>
    </row>
    <row r="628" spans="1:41" s="31" customFormat="1" ht="12" customHeight="1" x14ac:dyDescent="0.2">
      <c r="A628" s="1" t="s">
        <v>936</v>
      </c>
      <c r="B628" s="1"/>
      <c r="C628" s="1" t="s">
        <v>350</v>
      </c>
      <c r="D628" s="15"/>
      <c r="E628" s="24">
        <v>7173.6</v>
      </c>
      <c r="F628" s="24"/>
      <c r="G628" s="24">
        <v>1822.26</v>
      </c>
      <c r="H628" s="24"/>
      <c r="I628" s="24">
        <v>9592.7199999999993</v>
      </c>
      <c r="J628" s="24"/>
      <c r="K628" s="24">
        <v>0</v>
      </c>
      <c r="L628" s="24"/>
      <c r="M628" s="24">
        <v>0</v>
      </c>
      <c r="N628" s="24"/>
      <c r="O628" s="24">
        <v>27281</v>
      </c>
      <c r="P628" s="24"/>
      <c r="Q628" s="24">
        <v>28537.19</v>
      </c>
      <c r="R628" s="24"/>
      <c r="S628" s="24">
        <v>24734.76</v>
      </c>
      <c r="T628" s="24"/>
      <c r="U628" s="24">
        <v>3173.94</v>
      </c>
      <c r="V628" s="24"/>
      <c r="W628" s="24">
        <v>1212.02</v>
      </c>
      <c r="X628" s="24"/>
      <c r="Y628" s="24">
        <v>0</v>
      </c>
      <c r="Z628" s="24"/>
      <c r="AA628" s="24">
        <v>0</v>
      </c>
      <c r="AB628" s="24"/>
      <c r="AC628" s="24">
        <v>0</v>
      </c>
      <c r="AD628" s="24"/>
      <c r="AE628" s="24">
        <f t="shared" si="27"/>
        <v>103527.49</v>
      </c>
      <c r="AF628" s="24"/>
      <c r="AG628" s="24">
        <v>-20361.73</v>
      </c>
      <c r="AH628" s="24"/>
      <c r="AI628" s="24">
        <v>246749.8</v>
      </c>
      <c r="AJ628" s="24"/>
      <c r="AK628" s="24">
        <v>226388.07</v>
      </c>
      <c r="AL628" s="24">
        <f>+'Gov Rev'!AI628-'Gov Exp'!AE628+'Gov Exp'!AI628-'Gov Exp'!AK628</f>
        <v>0</v>
      </c>
      <c r="AM628" s="15" t="str">
        <f>'Gov Rev'!A628</f>
        <v>Stoutsville</v>
      </c>
      <c r="AN628" s="15" t="str">
        <f t="shared" si="28"/>
        <v>Stoutsville</v>
      </c>
      <c r="AO628" s="15" t="b">
        <f t="shared" si="29"/>
        <v>1</v>
      </c>
    </row>
    <row r="629" spans="1:41" s="31" customFormat="1" ht="12" customHeight="1" x14ac:dyDescent="0.2">
      <c r="A629" s="15" t="s">
        <v>567</v>
      </c>
      <c r="B629" s="15"/>
      <c r="C629" s="15" t="s">
        <v>560</v>
      </c>
      <c r="D629" s="15"/>
      <c r="E629" s="24">
        <v>368420</v>
      </c>
      <c r="F629" s="24"/>
      <c r="G629" s="24">
        <v>1904</v>
      </c>
      <c r="H629" s="24"/>
      <c r="I629" s="24">
        <v>31700</v>
      </c>
      <c r="J629" s="24"/>
      <c r="K629" s="24">
        <v>4339</v>
      </c>
      <c r="L629" s="24"/>
      <c r="M629" s="24">
        <v>80000</v>
      </c>
      <c r="N629" s="24"/>
      <c r="O629" s="24">
        <v>121600</v>
      </c>
      <c r="P629" s="24"/>
      <c r="Q629" s="24">
        <v>182467</v>
      </c>
      <c r="R629" s="24"/>
      <c r="S629" s="24">
        <v>233204</v>
      </c>
      <c r="T629" s="24"/>
      <c r="U629" s="24">
        <v>0</v>
      </c>
      <c r="V629" s="24"/>
      <c r="W629" s="24">
        <v>0</v>
      </c>
      <c r="X629" s="24"/>
      <c r="Y629" s="24">
        <v>524923</v>
      </c>
      <c r="Z629" s="24"/>
      <c r="AA629" s="24">
        <v>0</v>
      </c>
      <c r="AB629" s="24"/>
      <c r="AC629" s="24">
        <v>2654</v>
      </c>
      <c r="AD629" s="24"/>
      <c r="AE629" s="24">
        <f t="shared" si="27"/>
        <v>1551211</v>
      </c>
      <c r="AF629" s="24"/>
      <c r="AG629" s="24">
        <v>-15023</v>
      </c>
      <c r="AH629" s="24"/>
      <c r="AI629" s="24">
        <v>291346</v>
      </c>
      <c r="AJ629" s="24"/>
      <c r="AK629" s="24">
        <v>276323</v>
      </c>
      <c r="AL629" s="24">
        <f>+'Gov Rev'!AI629-'Gov Exp'!AE629+'Gov Exp'!AI629-'Gov Exp'!AK629</f>
        <v>0</v>
      </c>
      <c r="AM629" s="15" t="str">
        <f>'Gov Rev'!A629</f>
        <v>Strasburg</v>
      </c>
      <c r="AN629" s="15" t="str">
        <f t="shared" si="28"/>
        <v>Strasburg</v>
      </c>
      <c r="AO629" s="15" t="b">
        <f t="shared" si="29"/>
        <v>1</v>
      </c>
    </row>
    <row r="630" spans="1:41" s="31" customFormat="1" ht="12" customHeight="1" x14ac:dyDescent="0.2">
      <c r="A630" s="15" t="s">
        <v>424</v>
      </c>
      <c r="B630" s="15"/>
      <c r="C630" s="15" t="s">
        <v>420</v>
      </c>
      <c r="D630" s="15"/>
      <c r="E630" s="24">
        <v>128598</v>
      </c>
      <c r="F630" s="24"/>
      <c r="G630" s="24">
        <v>36773</v>
      </c>
      <c r="H630" s="24"/>
      <c r="I630" s="24">
        <v>278922</v>
      </c>
      <c r="J630" s="24"/>
      <c r="K630" s="24">
        <v>0</v>
      </c>
      <c r="L630" s="24"/>
      <c r="M630" s="24">
        <v>188327</v>
      </c>
      <c r="N630" s="24"/>
      <c r="O630" s="24">
        <v>140806</v>
      </c>
      <c r="P630" s="24"/>
      <c r="Q630" s="24">
        <v>1228698</v>
      </c>
      <c r="R630" s="24"/>
      <c r="S630" s="24">
        <v>358573</v>
      </c>
      <c r="T630" s="24"/>
      <c r="U630" s="24">
        <v>80708</v>
      </c>
      <c r="V630" s="24"/>
      <c r="W630" s="24">
        <v>0</v>
      </c>
      <c r="X630" s="24"/>
      <c r="Y630" s="24">
        <v>100708</v>
      </c>
      <c r="Z630" s="24"/>
      <c r="AA630" s="24">
        <v>0</v>
      </c>
      <c r="AB630" s="24"/>
      <c r="AC630" s="24">
        <v>0</v>
      </c>
      <c r="AD630" s="24"/>
      <c r="AE630" s="24">
        <f t="shared" si="27"/>
        <v>2542113</v>
      </c>
      <c r="AF630" s="24"/>
      <c r="AG630" s="24">
        <v>-947563</v>
      </c>
      <c r="AH630" s="24"/>
      <c r="AI630" s="24">
        <v>2057781</v>
      </c>
      <c r="AJ630" s="24"/>
      <c r="AK630" s="24">
        <v>1110218</v>
      </c>
      <c r="AL630" s="24">
        <f>+'Gov Rev'!AI630-'Gov Exp'!AE630+'Gov Exp'!AI630-'Gov Exp'!AK630</f>
        <v>0</v>
      </c>
      <c r="AM630" s="15" t="str">
        <f>'Gov Rev'!A630</f>
        <v>Stratton</v>
      </c>
      <c r="AN630" s="15" t="str">
        <f t="shared" si="28"/>
        <v>Stratton</v>
      </c>
      <c r="AO630" s="15" t="b">
        <f t="shared" si="29"/>
        <v>1</v>
      </c>
    </row>
    <row r="631" spans="1:41" s="31" customFormat="1" ht="12" customHeight="1" x14ac:dyDescent="0.2">
      <c r="A631" s="15" t="s">
        <v>598</v>
      </c>
      <c r="B631" s="15"/>
      <c r="C631" s="15" t="s">
        <v>596</v>
      </c>
      <c r="D631" s="15"/>
      <c r="E631" s="24">
        <v>256931</v>
      </c>
      <c r="F631" s="24"/>
      <c r="G631" s="24">
        <v>1750</v>
      </c>
      <c r="H631" s="24"/>
      <c r="I631" s="24">
        <v>4000</v>
      </c>
      <c r="J631" s="24"/>
      <c r="K631" s="24">
        <v>2979</v>
      </c>
      <c r="L631" s="24"/>
      <c r="M631" s="24">
        <v>6558</v>
      </c>
      <c r="N631" s="24"/>
      <c r="O631" s="24">
        <v>80908</v>
      </c>
      <c r="P631" s="24"/>
      <c r="Q631" s="24">
        <f>164795+4+28657</f>
        <v>193456</v>
      </c>
      <c r="R631" s="24"/>
      <c r="S631" s="24">
        <f>46717+148967</f>
        <v>195684</v>
      </c>
      <c r="T631" s="24"/>
      <c r="U631" s="24">
        <v>80764</v>
      </c>
      <c r="V631" s="24"/>
      <c r="W631" s="24">
        <v>0</v>
      </c>
      <c r="X631" s="24"/>
      <c r="Y631" s="24">
        <v>0</v>
      </c>
      <c r="Z631" s="24"/>
      <c r="AA631" s="24">
        <v>0</v>
      </c>
      <c r="AB631" s="24"/>
      <c r="AC631" s="24">
        <v>0</v>
      </c>
      <c r="AD631" s="24"/>
      <c r="AE631" s="24">
        <f t="shared" si="27"/>
        <v>823030</v>
      </c>
      <c r="AF631" s="24"/>
      <c r="AG631" s="24">
        <f>'Gov Rev'!AI631-AE631</f>
        <v>-67496</v>
      </c>
      <c r="AH631" s="24"/>
      <c r="AI631" s="24">
        <f>151565+130225+445379</f>
        <v>727169</v>
      </c>
      <c r="AJ631" s="24"/>
      <c r="AK631" s="24">
        <f>208008+94998+356667</f>
        <v>659673</v>
      </c>
      <c r="AL631" s="24">
        <f>+'Gov Rev'!AI631-'Gov Exp'!AE631+'Gov Exp'!AI631-'Gov Exp'!AK631</f>
        <v>0</v>
      </c>
      <c r="AM631" s="15" t="str">
        <f>'Gov Rev'!A631</f>
        <v>Stryker</v>
      </c>
      <c r="AN631" s="15" t="str">
        <f t="shared" si="28"/>
        <v>Stryker</v>
      </c>
      <c r="AO631" s="15" t="b">
        <f t="shared" si="29"/>
        <v>1</v>
      </c>
    </row>
    <row r="632" spans="1:41" s="31" customFormat="1" ht="12" customHeight="1" x14ac:dyDescent="0.2">
      <c r="A632" s="1" t="s">
        <v>196</v>
      </c>
      <c r="B632" s="1"/>
      <c r="C632" s="1" t="s">
        <v>795</v>
      </c>
      <c r="D632" s="15"/>
      <c r="E632" s="24">
        <v>22383.17</v>
      </c>
      <c r="F632" s="24"/>
      <c r="G632" s="24">
        <v>0</v>
      </c>
      <c r="H632" s="24"/>
      <c r="I632" s="24">
        <v>0</v>
      </c>
      <c r="J632" s="24"/>
      <c r="K632" s="24">
        <v>22971.9</v>
      </c>
      <c r="L632" s="24"/>
      <c r="M632" s="24">
        <v>25611</v>
      </c>
      <c r="N632" s="24"/>
      <c r="O632" s="24">
        <v>14100</v>
      </c>
      <c r="P632" s="24"/>
      <c r="Q632" s="24">
        <v>35669.43</v>
      </c>
      <c r="R632" s="24"/>
      <c r="S632" s="24">
        <v>0</v>
      </c>
      <c r="T632" s="24"/>
      <c r="U632" s="24">
        <v>0</v>
      </c>
      <c r="V632" s="24"/>
      <c r="W632" s="24">
        <v>0</v>
      </c>
      <c r="X632" s="24"/>
      <c r="Y632" s="24">
        <v>0</v>
      </c>
      <c r="Z632" s="24"/>
      <c r="AA632" s="24">
        <v>0</v>
      </c>
      <c r="AB632" s="24"/>
      <c r="AC632" s="24">
        <v>0</v>
      </c>
      <c r="AD632" s="24"/>
      <c r="AE632" s="24">
        <f t="shared" si="27"/>
        <v>120735.5</v>
      </c>
      <c r="AF632" s="24"/>
      <c r="AG632" s="24">
        <v>5563.65</v>
      </c>
      <c r="AH632" s="24"/>
      <c r="AI632" s="24">
        <v>263390.59000000003</v>
      </c>
      <c r="AJ632" s="24"/>
      <c r="AK632" s="24">
        <v>268954.23999999999</v>
      </c>
      <c r="AL632" s="24">
        <f>+'Gov Rev'!AI632-'Gov Exp'!AE632+'Gov Exp'!AI632-'Gov Exp'!AK632</f>
        <v>0</v>
      </c>
      <c r="AM632" s="15" t="str">
        <f>'Gov Rev'!A632</f>
        <v>Sugar Bush Knolls</v>
      </c>
      <c r="AN632" s="15" t="str">
        <f t="shared" si="28"/>
        <v>Sugar Bush Knolls</v>
      </c>
      <c r="AO632" s="15" t="b">
        <f t="shared" si="29"/>
        <v>1</v>
      </c>
    </row>
    <row r="633" spans="1:41" s="31" customFormat="1" ht="12" customHeight="1" x14ac:dyDescent="0.2">
      <c r="A633" s="1" t="s">
        <v>66</v>
      </c>
      <c r="B633" s="1"/>
      <c r="C633" s="1" t="s">
        <v>756</v>
      </c>
      <c r="D633" s="15"/>
      <c r="E633" s="24">
        <v>43613.57</v>
      </c>
      <c r="F633" s="24"/>
      <c r="G633" s="24">
        <v>0</v>
      </c>
      <c r="H633" s="24"/>
      <c r="I633" s="24">
        <v>250</v>
      </c>
      <c r="J633" s="24"/>
      <c r="K633" s="24">
        <v>667</v>
      </c>
      <c r="L633" s="24"/>
      <c r="M633" s="24">
        <v>0</v>
      </c>
      <c r="N633" s="24"/>
      <c r="O633" s="24">
        <v>21047.57</v>
      </c>
      <c r="P633" s="24"/>
      <c r="Q633" s="24">
        <v>85646.32</v>
      </c>
      <c r="R633" s="24"/>
      <c r="S633" s="24">
        <v>7409.91</v>
      </c>
      <c r="T633" s="24"/>
      <c r="U633" s="24">
        <v>0</v>
      </c>
      <c r="V633" s="24"/>
      <c r="W633" s="24">
        <v>0</v>
      </c>
      <c r="X633" s="24"/>
      <c r="Y633" s="24">
        <v>0</v>
      </c>
      <c r="Z633" s="24"/>
      <c r="AA633" s="24">
        <v>0</v>
      </c>
      <c r="AB633" s="24"/>
      <c r="AC633" s="24">
        <v>0</v>
      </c>
      <c r="AD633" s="24"/>
      <c r="AE633" s="24">
        <f t="shared" si="27"/>
        <v>158634.37000000002</v>
      </c>
      <c r="AF633" s="24"/>
      <c r="AG633" s="24">
        <v>22596.799999999999</v>
      </c>
      <c r="AH633" s="24"/>
      <c r="AI633" s="24">
        <v>217053.65</v>
      </c>
      <c r="AJ633" s="24"/>
      <c r="AK633" s="24">
        <v>239650.45</v>
      </c>
      <c r="AL633" s="24">
        <f>+'Gov Rev'!AI633-'Gov Exp'!AE633+'Gov Exp'!AI633-'Gov Exp'!AK633</f>
        <v>0</v>
      </c>
      <c r="AM633" s="15" t="str">
        <f>'Gov Rev'!A633</f>
        <v>Sugar Grove</v>
      </c>
      <c r="AN633" s="15" t="str">
        <f t="shared" si="28"/>
        <v>Sugar Grove</v>
      </c>
      <c r="AO633" s="15" t="b">
        <f t="shared" si="29"/>
        <v>1</v>
      </c>
    </row>
    <row r="634" spans="1:41" ht="12" customHeight="1" x14ac:dyDescent="0.2">
      <c r="A634" s="15" t="s">
        <v>568</v>
      </c>
      <c r="C634" s="15" t="s">
        <v>560</v>
      </c>
      <c r="E634" s="24">
        <v>471909</v>
      </c>
      <c r="G634" s="24">
        <v>2229</v>
      </c>
      <c r="I634" s="24">
        <v>18818</v>
      </c>
      <c r="K634" s="24">
        <v>9745</v>
      </c>
      <c r="M634" s="24">
        <v>126827</v>
      </c>
      <c r="O634" s="24">
        <v>215240</v>
      </c>
      <c r="Q634" s="24">
        <v>375857</v>
      </c>
      <c r="S634" s="24">
        <v>345989</v>
      </c>
      <c r="U634" s="24">
        <v>99220</v>
      </c>
      <c r="W634" s="24">
        <v>12414</v>
      </c>
      <c r="Y634" s="24">
        <v>100000</v>
      </c>
      <c r="AA634" s="24">
        <v>0</v>
      </c>
      <c r="AC634" s="24">
        <v>16687</v>
      </c>
      <c r="AE634" s="24">
        <f t="shared" si="27"/>
        <v>1794935</v>
      </c>
      <c r="AF634" s="24"/>
      <c r="AG634" s="24">
        <v>133680</v>
      </c>
      <c r="AH634" s="24"/>
      <c r="AI634" s="24">
        <v>349450</v>
      </c>
      <c r="AJ634" s="24"/>
      <c r="AK634" s="24">
        <v>483130</v>
      </c>
      <c r="AL634" s="24">
        <f>+'Gov Rev'!AI634-'Gov Exp'!AE634+'Gov Exp'!AI634-'Gov Exp'!AK634</f>
        <v>0</v>
      </c>
      <c r="AM634" s="15" t="str">
        <f>'Gov Rev'!A634</f>
        <v>Sugarcreek</v>
      </c>
      <c r="AN634" s="15" t="str">
        <f t="shared" si="28"/>
        <v>Sugarcreek</v>
      </c>
      <c r="AO634" s="15" t="b">
        <f t="shared" si="29"/>
        <v>1</v>
      </c>
    </row>
    <row r="635" spans="1:41" ht="12" customHeight="1" x14ac:dyDescent="0.2">
      <c r="A635" s="1" t="s">
        <v>178</v>
      </c>
      <c r="B635" s="1"/>
      <c r="C635" s="1" t="s">
        <v>790</v>
      </c>
      <c r="E635" s="24">
        <v>10372.5</v>
      </c>
      <c r="G635" s="24">
        <v>0</v>
      </c>
      <c r="I635" s="24">
        <v>2824.48</v>
      </c>
      <c r="K635" s="24">
        <v>0</v>
      </c>
      <c r="M635" s="24">
        <v>403.62</v>
      </c>
      <c r="O635" s="24">
        <v>2241.52</v>
      </c>
      <c r="Q635" s="24">
        <v>19641.47</v>
      </c>
      <c r="S635" s="24">
        <v>0</v>
      </c>
      <c r="U635" s="24">
        <v>0</v>
      </c>
      <c r="W635" s="24">
        <v>0</v>
      </c>
      <c r="Y635" s="24">
        <v>5523</v>
      </c>
      <c r="AA635" s="24">
        <v>0</v>
      </c>
      <c r="AC635" s="24">
        <v>0</v>
      </c>
      <c r="AE635" s="24">
        <f t="shared" si="27"/>
        <v>41006.590000000004</v>
      </c>
      <c r="AF635" s="24"/>
      <c r="AG635" s="24">
        <v>-2769.9</v>
      </c>
      <c r="AH635" s="24"/>
      <c r="AI635" s="24">
        <v>21525.23</v>
      </c>
      <c r="AJ635" s="24"/>
      <c r="AK635" s="24">
        <v>18755.330000000002</v>
      </c>
      <c r="AL635" s="24">
        <f>+'Gov Rev'!AI635-'Gov Exp'!AE635+'Gov Exp'!AI635-'Gov Exp'!AK635</f>
        <v>0</v>
      </c>
      <c r="AM635" s="15" t="str">
        <f>'Gov Rev'!A635</f>
        <v>Summerfield</v>
      </c>
      <c r="AN635" s="15" t="str">
        <f t="shared" si="28"/>
        <v>Summerfield</v>
      </c>
      <c r="AO635" s="15" t="b">
        <f t="shared" si="29"/>
        <v>1</v>
      </c>
    </row>
    <row r="636" spans="1:41" ht="12" customHeight="1" x14ac:dyDescent="0.2">
      <c r="A636" s="1" t="s">
        <v>47</v>
      </c>
      <c r="B636" s="1"/>
      <c r="C636" s="1" t="s">
        <v>305</v>
      </c>
      <c r="E636" s="24">
        <v>10567.33</v>
      </c>
      <c r="G636" s="24">
        <v>0</v>
      </c>
      <c r="I636" s="24">
        <v>3686.71</v>
      </c>
      <c r="K636" s="24">
        <v>2819.98</v>
      </c>
      <c r="M636" s="24">
        <v>4557.92</v>
      </c>
      <c r="O636" s="24">
        <v>5508.97</v>
      </c>
      <c r="Q636" s="24">
        <v>9247.91</v>
      </c>
      <c r="S636" s="24">
        <v>0</v>
      </c>
      <c r="U636" s="24">
        <v>0</v>
      </c>
      <c r="W636" s="24">
        <v>0</v>
      </c>
      <c r="Y636" s="24">
        <v>0</v>
      </c>
      <c r="AA636" s="24">
        <v>0</v>
      </c>
      <c r="AC636" s="24">
        <v>0</v>
      </c>
      <c r="AE636" s="24">
        <f t="shared" si="27"/>
        <v>36388.820000000007</v>
      </c>
      <c r="AF636" s="24"/>
      <c r="AG636" s="24">
        <v>-12.77</v>
      </c>
      <c r="AH636" s="24"/>
      <c r="AI636" s="24">
        <v>20777.86</v>
      </c>
      <c r="AJ636" s="24"/>
      <c r="AK636" s="24">
        <v>20765.09</v>
      </c>
      <c r="AL636" s="24">
        <f>+'Gov Rev'!AI636-'Gov Exp'!AE636+'Gov Exp'!AI636-'Gov Exp'!AK636</f>
        <v>0</v>
      </c>
      <c r="AM636" s="15" t="str">
        <f>'Gov Rev'!A636</f>
        <v>Summitville</v>
      </c>
      <c r="AN636" s="15" t="str">
        <f t="shared" si="28"/>
        <v>Summitville</v>
      </c>
      <c r="AO636" s="15" t="b">
        <f t="shared" si="29"/>
        <v>1</v>
      </c>
    </row>
    <row r="637" spans="1:41" ht="12" customHeight="1" x14ac:dyDescent="0.2">
      <c r="A637" s="15" t="s">
        <v>346</v>
      </c>
      <c r="C637" s="15" t="s">
        <v>343</v>
      </c>
      <c r="E637" s="24">
        <v>1083455</v>
      </c>
      <c r="G637" s="24">
        <v>53349</v>
      </c>
      <c r="I637" s="24">
        <v>150845</v>
      </c>
      <c r="K637" s="24">
        <v>134949</v>
      </c>
      <c r="M637" s="24">
        <v>24774</v>
      </c>
      <c r="O637" s="24">
        <v>499087</v>
      </c>
      <c r="Q637" s="24">
        <v>603546</v>
      </c>
      <c r="S637" s="24">
        <v>53582</v>
      </c>
      <c r="U637" s="24">
        <f>1115950+1274600</f>
        <v>2390550</v>
      </c>
      <c r="W637" s="24">
        <v>54560</v>
      </c>
      <c r="Y637" s="24">
        <v>65293</v>
      </c>
      <c r="AA637" s="24">
        <v>0</v>
      </c>
      <c r="AC637" s="24">
        <v>0</v>
      </c>
      <c r="AE637" s="24">
        <f t="shared" si="27"/>
        <v>5113990</v>
      </c>
      <c r="AF637" s="24"/>
      <c r="AG637" s="24">
        <v>604980</v>
      </c>
      <c r="AH637" s="24"/>
      <c r="AI637" s="24">
        <f>AK637-AG637</f>
        <v>3344858</v>
      </c>
      <c r="AJ637" s="24"/>
      <c r="AK637" s="24">
        <v>3949838</v>
      </c>
      <c r="AL637" s="24">
        <f>+'Gov Rev'!AI637-'Gov Exp'!AE637+'Gov Exp'!AI637-'Gov Exp'!AK637</f>
        <v>0</v>
      </c>
      <c r="AM637" s="15" t="str">
        <f>'Gov Rev'!A637</f>
        <v>Sunbury</v>
      </c>
      <c r="AN637" s="15" t="str">
        <f t="shared" si="28"/>
        <v>Sunbury</v>
      </c>
      <c r="AO637" s="15" t="b">
        <f t="shared" si="29"/>
        <v>1</v>
      </c>
    </row>
    <row r="638" spans="1:41" s="31" customFormat="1" ht="12" customHeight="1" x14ac:dyDescent="0.2">
      <c r="A638" s="1" t="s">
        <v>362</v>
      </c>
      <c r="B638" s="1"/>
      <c r="C638" s="1" t="s">
        <v>358</v>
      </c>
      <c r="D638" s="15"/>
      <c r="E638" s="24">
        <v>703127.17</v>
      </c>
      <c r="F638" s="24"/>
      <c r="G638" s="24">
        <v>0</v>
      </c>
      <c r="H638" s="24"/>
      <c r="I638" s="24">
        <v>54214.03</v>
      </c>
      <c r="J638" s="24"/>
      <c r="K638" s="24">
        <v>0</v>
      </c>
      <c r="L638" s="24"/>
      <c r="M638" s="24">
        <v>44060.24</v>
      </c>
      <c r="N638" s="24"/>
      <c r="O638" s="24">
        <v>230496.54</v>
      </c>
      <c r="P638" s="24"/>
      <c r="Q638" s="24">
        <v>416218.36</v>
      </c>
      <c r="R638" s="24"/>
      <c r="S638" s="24">
        <v>362313.58</v>
      </c>
      <c r="T638" s="24"/>
      <c r="U638" s="24">
        <v>56374.559999999998</v>
      </c>
      <c r="V638" s="24"/>
      <c r="W638" s="24">
        <v>585</v>
      </c>
      <c r="X638" s="24"/>
      <c r="Y638" s="24">
        <v>425000</v>
      </c>
      <c r="Z638" s="24"/>
      <c r="AA638" s="24">
        <v>0</v>
      </c>
      <c r="AB638" s="24"/>
      <c r="AC638" s="24">
        <v>142961.76</v>
      </c>
      <c r="AD638" s="24"/>
      <c r="AE638" s="24">
        <f t="shared" si="27"/>
        <v>2435351.2400000002</v>
      </c>
      <c r="AF638" s="24"/>
      <c r="AG638" s="24">
        <v>-168330.58</v>
      </c>
      <c r="AH638" s="24"/>
      <c r="AI638" s="24">
        <v>4312958.9400000004</v>
      </c>
      <c r="AJ638" s="24"/>
      <c r="AK638" s="24">
        <v>4144628.36</v>
      </c>
      <c r="AL638" s="24">
        <f>+'Gov Rev'!AI638-'Gov Exp'!AE638+'Gov Exp'!AI638-'Gov Exp'!AK638</f>
        <v>-3.9999999571591616E-2</v>
      </c>
      <c r="AM638" s="15" t="str">
        <f>'Gov Rev'!A638</f>
        <v>Swanton</v>
      </c>
      <c r="AN638" s="15" t="str">
        <f t="shared" si="28"/>
        <v>Swanton</v>
      </c>
      <c r="AO638" s="15" t="b">
        <f t="shared" si="29"/>
        <v>1</v>
      </c>
    </row>
    <row r="639" spans="1:41" s="24" customFormat="1" ht="12" customHeight="1" x14ac:dyDescent="0.2">
      <c r="A639" s="1" t="s">
        <v>266</v>
      </c>
      <c r="B639" s="1"/>
      <c r="C639" s="1" t="s">
        <v>814</v>
      </c>
      <c r="D639" s="15"/>
      <c r="E639" s="24">
        <v>164566.56</v>
      </c>
      <c r="G639" s="24">
        <v>2380.5</v>
      </c>
      <c r="I639" s="24">
        <v>12506.59</v>
      </c>
      <c r="K639" s="24">
        <v>977.89</v>
      </c>
      <c r="M639" s="24">
        <v>0</v>
      </c>
      <c r="O639" s="24">
        <v>64994.07</v>
      </c>
      <c r="Q639" s="24">
        <v>96732.71</v>
      </c>
      <c r="S639" s="24">
        <v>0</v>
      </c>
      <c r="U639" s="24">
        <v>19709.099999999999</v>
      </c>
      <c r="W639" s="24">
        <v>0</v>
      </c>
      <c r="Y639" s="24">
        <v>133881.32</v>
      </c>
      <c r="AA639" s="24">
        <v>0</v>
      </c>
      <c r="AC639" s="24">
        <v>985.68</v>
      </c>
      <c r="AE639" s="24">
        <f t="shared" si="27"/>
        <v>496734.42</v>
      </c>
      <c r="AG639" s="24">
        <v>72998.710000000006</v>
      </c>
      <c r="AI639" s="24">
        <v>576199.86</v>
      </c>
      <c r="AK639" s="24">
        <v>649198.56999999995</v>
      </c>
      <c r="AL639" s="24">
        <f>+'Gov Rev'!AI639-'Gov Exp'!AE639+'Gov Exp'!AI639-'Gov Exp'!AK639</f>
        <v>0</v>
      </c>
      <c r="AM639" s="15" t="str">
        <f>'Gov Rev'!A639</f>
        <v>Sycamore</v>
      </c>
      <c r="AN639" s="15" t="str">
        <f t="shared" si="28"/>
        <v>Sycamore</v>
      </c>
      <c r="AO639" s="15" t="b">
        <f t="shared" si="29"/>
        <v>1</v>
      </c>
    </row>
    <row r="640" spans="1:41" ht="12" customHeight="1" x14ac:dyDescent="0.2">
      <c r="A640" s="1"/>
      <c r="B640" s="1"/>
      <c r="C640" s="1"/>
      <c r="AE640" s="24"/>
      <c r="AF640" s="24"/>
      <c r="AG640" s="24"/>
      <c r="AH640" s="24"/>
      <c r="AI640" s="24"/>
      <c r="AJ640" s="24"/>
      <c r="AK640" s="24"/>
      <c r="AL640" s="24"/>
    </row>
    <row r="641" spans="1:41" ht="12" customHeight="1" x14ac:dyDescent="0.2">
      <c r="A641" s="1"/>
      <c r="B641" s="1"/>
      <c r="C641" s="1"/>
      <c r="AE641" s="77" t="s">
        <v>850</v>
      </c>
      <c r="AF641" s="24"/>
      <c r="AG641" s="24"/>
      <c r="AH641" s="24"/>
      <c r="AI641" s="24"/>
      <c r="AJ641" s="24"/>
      <c r="AK641" s="24"/>
      <c r="AL641" s="24"/>
    </row>
    <row r="642" spans="1:41" ht="12" customHeight="1" x14ac:dyDescent="0.2">
      <c r="A642" s="1"/>
      <c r="B642" s="1"/>
      <c r="C642" s="1"/>
      <c r="AE642" s="24"/>
      <c r="AF642" s="24"/>
      <c r="AG642" s="24"/>
      <c r="AH642" s="24"/>
      <c r="AI642" s="24"/>
      <c r="AJ642" s="24"/>
      <c r="AK642" s="24"/>
      <c r="AL642" s="24"/>
    </row>
    <row r="643" spans="1:41" ht="12" customHeight="1" x14ac:dyDescent="0.2">
      <c r="A643" s="1" t="s">
        <v>159</v>
      </c>
      <c r="B643" s="1"/>
      <c r="C643" s="1" t="s">
        <v>782</v>
      </c>
      <c r="E643" s="91">
        <v>70041.75</v>
      </c>
      <c r="F643" s="91"/>
      <c r="G643" s="91">
        <v>0</v>
      </c>
      <c r="H643" s="91"/>
      <c r="I643" s="91">
        <v>27116.36</v>
      </c>
      <c r="J643" s="91"/>
      <c r="K643" s="91">
        <v>0</v>
      </c>
      <c r="L643" s="91"/>
      <c r="M643" s="91">
        <v>0</v>
      </c>
      <c r="N643" s="91"/>
      <c r="O643" s="91">
        <v>99881.13</v>
      </c>
      <c r="P643" s="91"/>
      <c r="Q643" s="91">
        <v>50995.39</v>
      </c>
      <c r="R643" s="91"/>
      <c r="S643" s="91">
        <v>380578.03</v>
      </c>
      <c r="T643" s="91"/>
      <c r="U643" s="91">
        <v>0</v>
      </c>
      <c r="V643" s="91"/>
      <c r="W643" s="91">
        <v>0</v>
      </c>
      <c r="X643" s="91"/>
      <c r="Y643" s="91">
        <v>16000</v>
      </c>
      <c r="Z643" s="91"/>
      <c r="AA643" s="91">
        <v>0</v>
      </c>
      <c r="AB643" s="91"/>
      <c r="AC643" s="91">
        <v>1237.76</v>
      </c>
      <c r="AD643" s="91"/>
      <c r="AE643" s="91">
        <f t="shared" si="27"/>
        <v>645850.42000000004</v>
      </c>
      <c r="AF643" s="24"/>
      <c r="AG643" s="24">
        <v>-17800.98</v>
      </c>
      <c r="AH643" s="24"/>
      <c r="AI643" s="24">
        <v>256180.98</v>
      </c>
      <c r="AJ643" s="24"/>
      <c r="AK643" s="24">
        <v>238380</v>
      </c>
      <c r="AL643" s="24">
        <f>+'Gov Rev'!AI640-'Gov Exp'!AE643+'Gov Exp'!AI643-'Gov Exp'!AK643</f>
        <v>0</v>
      </c>
      <c r="AM643" s="15" t="str">
        <f>'Gov Rev'!A640</f>
        <v>Syracuse</v>
      </c>
      <c r="AN643" s="15" t="str">
        <f t="shared" si="28"/>
        <v>Syracuse</v>
      </c>
      <c r="AO643" s="15" t="b">
        <f t="shared" si="29"/>
        <v>1</v>
      </c>
    </row>
    <row r="644" spans="1:41" ht="12" customHeight="1" x14ac:dyDescent="0.2">
      <c r="A644" s="1" t="s">
        <v>191</v>
      </c>
      <c r="B644" s="1"/>
      <c r="C644" s="1" t="s">
        <v>793</v>
      </c>
      <c r="E644" s="24">
        <v>1757.07</v>
      </c>
      <c r="G644" s="24">
        <v>0</v>
      </c>
      <c r="I644" s="24">
        <v>389.82</v>
      </c>
      <c r="K644" s="24">
        <v>0</v>
      </c>
      <c r="M644" s="24">
        <v>0</v>
      </c>
      <c r="O644" s="24">
        <v>17779.990000000002</v>
      </c>
      <c r="Q644" s="24">
        <v>30654.07</v>
      </c>
      <c r="S644" s="24">
        <v>0</v>
      </c>
      <c r="U644" s="24">
        <v>5415.46</v>
      </c>
      <c r="W644" s="24">
        <v>817.34</v>
      </c>
      <c r="Y644" s="24">
        <v>6232.8</v>
      </c>
      <c r="AA644" s="24">
        <v>0</v>
      </c>
      <c r="AC644" s="24">
        <v>225.37</v>
      </c>
      <c r="AE644" s="24">
        <f t="shared" si="27"/>
        <v>63271.92</v>
      </c>
      <c r="AF644" s="24"/>
      <c r="AG644" s="24">
        <v>-16177.97</v>
      </c>
      <c r="AH644" s="24"/>
      <c r="AI644" s="24">
        <v>61097.82</v>
      </c>
      <c r="AJ644" s="24"/>
      <c r="AK644" s="24">
        <v>44919.85</v>
      </c>
      <c r="AL644" s="24">
        <f>+'Gov Rev'!AI641-'Gov Exp'!AE644+'Gov Exp'!AI644-'Gov Exp'!AK644</f>
        <v>0</v>
      </c>
      <c r="AM644" s="15" t="str">
        <f>'Gov Rev'!A641</f>
        <v>Tarlton</v>
      </c>
      <c r="AN644" s="15" t="str">
        <f t="shared" si="28"/>
        <v>Tarlton</v>
      </c>
      <c r="AO644" s="15" t="b">
        <f t="shared" si="29"/>
        <v>1</v>
      </c>
    </row>
    <row r="645" spans="1:41" s="31" customFormat="1" ht="12" customHeight="1" x14ac:dyDescent="0.2">
      <c r="A645" s="1" t="s">
        <v>385</v>
      </c>
      <c r="B645" s="1"/>
      <c r="C645" s="1" t="s">
        <v>378</v>
      </c>
      <c r="D645" s="15"/>
      <c r="E645" s="24">
        <v>822827.12</v>
      </c>
      <c r="F645" s="24"/>
      <c r="G645" s="24">
        <v>0</v>
      </c>
      <c r="H645" s="24"/>
      <c r="I645" s="24">
        <v>1643.45</v>
      </c>
      <c r="J645" s="24"/>
      <c r="K645" s="24">
        <v>31199.49</v>
      </c>
      <c r="L645" s="24"/>
      <c r="M645" s="24">
        <v>145180.13</v>
      </c>
      <c r="N645" s="24"/>
      <c r="O645" s="24">
        <v>260611.78</v>
      </c>
      <c r="P645" s="24"/>
      <c r="Q645" s="24">
        <v>532221.17000000004</v>
      </c>
      <c r="R645" s="24"/>
      <c r="S645" s="24">
        <v>99000</v>
      </c>
      <c r="T645" s="24"/>
      <c r="U645" s="24">
        <v>45000</v>
      </c>
      <c r="V645" s="24"/>
      <c r="W645" s="24">
        <v>81006.259999999995</v>
      </c>
      <c r="X645" s="24"/>
      <c r="Y645" s="24">
        <v>0</v>
      </c>
      <c r="Z645" s="24"/>
      <c r="AA645" s="24">
        <v>0</v>
      </c>
      <c r="AB645" s="24"/>
      <c r="AC645" s="24">
        <v>0</v>
      </c>
      <c r="AD645" s="24"/>
      <c r="AE645" s="24">
        <f t="shared" si="27"/>
        <v>2018689.4000000001</v>
      </c>
      <c r="AF645" s="24"/>
      <c r="AG645" s="24">
        <v>-197263.43</v>
      </c>
      <c r="AH645" s="24"/>
      <c r="AI645" s="24">
        <v>1723042.32</v>
      </c>
      <c r="AJ645" s="24"/>
      <c r="AK645" s="24">
        <v>1525778.89</v>
      </c>
      <c r="AL645" s="24">
        <f>+'Gov Rev'!AI642-'Gov Exp'!AE645+'Gov Exp'!AI645-'Gov Exp'!AK645</f>
        <v>0</v>
      </c>
      <c r="AM645" s="15" t="str">
        <f>'Gov Rev'!A642</f>
        <v>Terrace Park</v>
      </c>
      <c r="AN645" s="15" t="str">
        <f t="shared" si="28"/>
        <v>Terrace Park</v>
      </c>
      <c r="AO645" s="15" t="b">
        <f t="shared" si="29"/>
        <v>1</v>
      </c>
    </row>
    <row r="646" spans="1:41" s="31" customFormat="1" ht="12" customHeight="1" x14ac:dyDescent="0.2">
      <c r="A646" s="1" t="s">
        <v>503</v>
      </c>
      <c r="B646" s="1"/>
      <c r="C646" s="1" t="s">
        <v>500</v>
      </c>
      <c r="D646" s="15"/>
      <c r="E646" s="24">
        <v>58311.96</v>
      </c>
      <c r="F646" s="24"/>
      <c r="G646" s="24">
        <v>628.92999999999995</v>
      </c>
      <c r="H646" s="24"/>
      <c r="I646" s="24">
        <v>8330.33</v>
      </c>
      <c r="J646" s="24"/>
      <c r="K646" s="24">
        <v>9366.84</v>
      </c>
      <c r="L646" s="24"/>
      <c r="M646" s="24">
        <v>3531.06</v>
      </c>
      <c r="N646" s="24"/>
      <c r="O646" s="24">
        <v>106501.93</v>
      </c>
      <c r="P646" s="24"/>
      <c r="Q646" s="24">
        <v>171615.49</v>
      </c>
      <c r="R646" s="24"/>
      <c r="S646" s="24">
        <v>29966.880000000001</v>
      </c>
      <c r="T646" s="24"/>
      <c r="U646" s="24">
        <v>0</v>
      </c>
      <c r="V646" s="24"/>
      <c r="W646" s="24">
        <v>0</v>
      </c>
      <c r="X646" s="24"/>
      <c r="Y646" s="24">
        <v>0</v>
      </c>
      <c r="Z646" s="24"/>
      <c r="AA646" s="24">
        <v>0</v>
      </c>
      <c r="AB646" s="24"/>
      <c r="AC646" s="24">
        <v>0</v>
      </c>
      <c r="AD646" s="24"/>
      <c r="AE646" s="24">
        <f t="shared" si="27"/>
        <v>388253.42</v>
      </c>
      <c r="AF646" s="24"/>
      <c r="AG646" s="24">
        <v>13924.88</v>
      </c>
      <c r="AH646" s="24"/>
      <c r="AI646" s="24">
        <v>895407.96</v>
      </c>
      <c r="AJ646" s="24"/>
      <c r="AK646" s="24">
        <v>909332.84</v>
      </c>
      <c r="AL646" s="24">
        <f>+'Gov Rev'!AI643-'Gov Exp'!AE646+'Gov Exp'!AI646-'Gov Exp'!AK646</f>
        <v>0</v>
      </c>
      <c r="AM646" s="15" t="str">
        <f>'Gov Rev'!A643</f>
        <v>Thornville</v>
      </c>
      <c r="AN646" s="15" t="str">
        <f t="shared" si="28"/>
        <v>Thornville</v>
      </c>
      <c r="AO646" s="15" t="b">
        <f t="shared" si="29"/>
        <v>1</v>
      </c>
    </row>
    <row r="647" spans="1:41" ht="12" customHeight="1" x14ac:dyDescent="0.2">
      <c r="A647" s="1" t="s">
        <v>67</v>
      </c>
      <c r="B647" s="1"/>
      <c r="C647" s="1" t="s">
        <v>756</v>
      </c>
      <c r="E647" s="24">
        <v>80133.83</v>
      </c>
      <c r="G647" s="24">
        <v>1929.4</v>
      </c>
      <c r="I647" s="24">
        <v>94.53</v>
      </c>
      <c r="K647" s="24">
        <v>982.5</v>
      </c>
      <c r="M647" s="24">
        <v>18424.919999999998</v>
      </c>
      <c r="O647" s="24">
        <v>16023.07</v>
      </c>
      <c r="Q647" s="24">
        <v>31474.25</v>
      </c>
      <c r="S647" s="24">
        <v>24822.79</v>
      </c>
      <c r="U647" s="24">
        <v>0</v>
      </c>
      <c r="W647" s="24">
        <v>0</v>
      </c>
      <c r="Y647" s="24">
        <v>92.18</v>
      </c>
      <c r="AA647" s="24">
        <v>0</v>
      </c>
      <c r="AC647" s="24">
        <v>0</v>
      </c>
      <c r="AE647" s="24">
        <f t="shared" si="27"/>
        <v>173977.47</v>
      </c>
      <c r="AF647" s="24"/>
      <c r="AG647" s="24">
        <v>85252.6</v>
      </c>
      <c r="AH647" s="24"/>
      <c r="AI647" s="24">
        <v>134290.14000000001</v>
      </c>
      <c r="AJ647" s="24"/>
      <c r="AK647" s="24">
        <v>219542.74</v>
      </c>
      <c r="AL647" s="24">
        <f>+'Gov Rev'!AI644-'Gov Exp'!AE647+'Gov Exp'!AI647-'Gov Exp'!AK647</f>
        <v>0</v>
      </c>
      <c r="AM647" s="15" t="str">
        <f>'Gov Rev'!A644</f>
        <v>Thurston</v>
      </c>
      <c r="AN647" s="15" t="str">
        <f t="shared" si="28"/>
        <v>Thurston</v>
      </c>
      <c r="AO647" s="15" t="b">
        <f t="shared" si="29"/>
        <v>1</v>
      </c>
    </row>
    <row r="648" spans="1:41" s="24" customFormat="1" ht="12" customHeight="1" x14ac:dyDescent="0.2">
      <c r="A648" s="36" t="s">
        <v>120</v>
      </c>
      <c r="B648" s="36"/>
      <c r="C648" s="36" t="s">
        <v>770</v>
      </c>
      <c r="D648" s="15"/>
      <c r="E648" s="24">
        <v>169552.28</v>
      </c>
      <c r="G648" s="24">
        <v>2296.86</v>
      </c>
      <c r="I648" s="24">
        <v>0</v>
      </c>
      <c r="K648" s="24">
        <v>0</v>
      </c>
      <c r="M648" s="24">
        <v>0</v>
      </c>
      <c r="O648" s="24">
        <v>50997.31</v>
      </c>
      <c r="Q648" s="24">
        <v>64697.599999999999</v>
      </c>
      <c r="S648" s="24">
        <v>0</v>
      </c>
      <c r="U648" s="24">
        <v>38497.79</v>
      </c>
      <c r="W648" s="24">
        <v>6302.55</v>
      </c>
      <c r="Y648" s="24">
        <v>0</v>
      </c>
      <c r="AA648" s="24">
        <v>0</v>
      </c>
      <c r="AC648" s="24">
        <v>0</v>
      </c>
      <c r="AE648" s="24">
        <f t="shared" si="27"/>
        <v>332344.38999999996</v>
      </c>
      <c r="AG648" s="24">
        <v>7559.71</v>
      </c>
      <c r="AI648" s="24">
        <v>189080.79</v>
      </c>
      <c r="AK648" s="24">
        <v>196640.5</v>
      </c>
      <c r="AL648" s="24">
        <f>+'Gov Rev'!AI645-'Gov Exp'!AE648+'Gov Exp'!AI648-'Gov Exp'!AK648</f>
        <v>0</v>
      </c>
      <c r="AM648" s="15" t="str">
        <f>'Gov Rev'!A645</f>
        <v>Tiltonsville</v>
      </c>
      <c r="AN648" s="15" t="str">
        <f t="shared" si="28"/>
        <v>Tiltonsville</v>
      </c>
      <c r="AO648" s="15" t="b">
        <f t="shared" si="29"/>
        <v>1</v>
      </c>
    </row>
    <row r="649" spans="1:41" s="24" customFormat="1" ht="12" customHeight="1" x14ac:dyDescent="0.2">
      <c r="A649" s="15" t="s">
        <v>434</v>
      </c>
      <c r="B649" s="15"/>
      <c r="C649" s="15" t="s">
        <v>430</v>
      </c>
      <c r="D649" s="15"/>
      <c r="E649" s="24">
        <v>253009</v>
      </c>
      <c r="G649" s="24">
        <v>5891</v>
      </c>
      <c r="I649" s="24">
        <v>20471</v>
      </c>
      <c r="K649" s="24">
        <v>0</v>
      </c>
      <c r="M649" s="24">
        <v>85958</v>
      </c>
      <c r="O649" s="24">
        <v>26601</v>
      </c>
      <c r="Q649" s="24">
        <v>106308</v>
      </c>
      <c r="S649" s="24">
        <v>0</v>
      </c>
      <c r="U649" s="24">
        <v>0</v>
      </c>
      <c r="W649" s="24">
        <v>0</v>
      </c>
      <c r="Y649" s="24">
        <v>0</v>
      </c>
      <c r="AA649" s="24">
        <v>0</v>
      </c>
      <c r="AC649" s="24">
        <v>0</v>
      </c>
      <c r="AE649" s="24">
        <f t="shared" si="27"/>
        <v>498238</v>
      </c>
      <c r="AG649" s="24">
        <v>11916</v>
      </c>
      <c r="AI649" s="24">
        <v>342477</v>
      </c>
      <c r="AK649" s="24">
        <v>354393</v>
      </c>
      <c r="AL649" s="24">
        <f>+'Gov Rev'!AI646-'Gov Exp'!AE649+'Gov Exp'!AI649-'Gov Exp'!AK649</f>
        <v>0</v>
      </c>
      <c r="AM649" s="15" t="str">
        <f>'Gov Rev'!A646</f>
        <v>Timberlake</v>
      </c>
      <c r="AN649" s="15" t="str">
        <f t="shared" si="28"/>
        <v>Timberlake</v>
      </c>
      <c r="AO649" s="15" t="b">
        <f t="shared" si="29"/>
        <v>1</v>
      </c>
    </row>
    <row r="650" spans="1:41" ht="12" customHeight="1" x14ac:dyDescent="0.2">
      <c r="A650" s="1" t="s">
        <v>844</v>
      </c>
      <c r="B650" s="1"/>
      <c r="C650" s="1" t="s">
        <v>750</v>
      </c>
      <c r="E650" s="24">
        <v>4036.53</v>
      </c>
      <c r="G650" s="24">
        <v>692.97</v>
      </c>
      <c r="I650" s="24">
        <v>0</v>
      </c>
      <c r="K650" s="24">
        <v>0</v>
      </c>
      <c r="M650" s="24">
        <v>0</v>
      </c>
      <c r="O650" s="24">
        <v>39109.879999999997</v>
      </c>
      <c r="Q650" s="24">
        <v>8860.36</v>
      </c>
      <c r="S650" s="24">
        <v>0</v>
      </c>
      <c r="U650" s="24">
        <v>1000</v>
      </c>
      <c r="W650" s="24">
        <v>0</v>
      </c>
      <c r="Y650" s="24">
        <v>0</v>
      </c>
      <c r="AA650" s="24">
        <v>0</v>
      </c>
      <c r="AC650" s="24">
        <v>0</v>
      </c>
      <c r="AE650" s="24">
        <f t="shared" si="27"/>
        <v>53699.74</v>
      </c>
      <c r="AF650" s="24"/>
      <c r="AG650" s="24">
        <v>-28721.35</v>
      </c>
      <c r="AH650" s="24"/>
      <c r="AI650" s="24">
        <v>93496.5</v>
      </c>
      <c r="AJ650" s="24"/>
      <c r="AK650" s="24">
        <v>64775.15</v>
      </c>
      <c r="AL650" s="24">
        <f>+'Gov Rev'!AI647-'Gov Exp'!AE650+'Gov Exp'!AI650-'Gov Exp'!AK650</f>
        <v>0</v>
      </c>
      <c r="AM650" s="15" t="str">
        <f>'Gov Rev'!A647</f>
        <v>Tiro</v>
      </c>
      <c r="AN650" s="15" t="str">
        <f t="shared" si="28"/>
        <v>Tiro</v>
      </c>
      <c r="AO650" s="15" t="b">
        <f t="shared" si="29"/>
        <v>1</v>
      </c>
    </row>
    <row r="651" spans="1:41" ht="12" customHeight="1" x14ac:dyDescent="0.2">
      <c r="A651" s="1" t="s">
        <v>607</v>
      </c>
      <c r="B651" s="1"/>
      <c r="C651" s="1" t="s">
        <v>601</v>
      </c>
      <c r="E651" s="24">
        <v>25953.55</v>
      </c>
      <c r="G651" s="24">
        <v>202.7</v>
      </c>
      <c r="I651" s="24">
        <v>15840.64</v>
      </c>
      <c r="K651" s="24">
        <v>1385.4</v>
      </c>
      <c r="M651" s="24">
        <v>914.6</v>
      </c>
      <c r="O651" s="24">
        <v>3223.77</v>
      </c>
      <c r="Q651" s="24">
        <v>50748.33</v>
      </c>
      <c r="S651" s="24">
        <v>48843.18</v>
      </c>
      <c r="U651" s="24">
        <v>0</v>
      </c>
      <c r="W651" s="24">
        <v>0</v>
      </c>
      <c r="Y651" s="24">
        <v>0</v>
      </c>
      <c r="AA651" s="24">
        <v>0</v>
      </c>
      <c r="AC651" s="24">
        <v>1652.88</v>
      </c>
      <c r="AE651" s="24">
        <f t="shared" si="27"/>
        <v>148765.04999999999</v>
      </c>
      <c r="AF651" s="24"/>
      <c r="AG651" s="24">
        <v>29115.200000000001</v>
      </c>
      <c r="AH651" s="24"/>
      <c r="AI651" s="24">
        <v>249441.1</v>
      </c>
      <c r="AJ651" s="24"/>
      <c r="AK651" s="24">
        <v>278556.3</v>
      </c>
      <c r="AL651" s="24">
        <f>+'Gov Rev'!AI648-'Gov Exp'!AE651+'Gov Exp'!AI651-'Gov Exp'!AK651</f>
        <v>0</v>
      </c>
      <c r="AM651" s="15" t="str">
        <f>'Gov Rev'!A648</f>
        <v>Tontogany</v>
      </c>
      <c r="AN651" s="15" t="str">
        <f t="shared" si="28"/>
        <v>Tontogany</v>
      </c>
      <c r="AO651" s="15" t="b">
        <f t="shared" si="29"/>
        <v>1</v>
      </c>
    </row>
    <row r="652" spans="1:41" ht="12" customHeight="1" x14ac:dyDescent="0.2">
      <c r="A652" s="15" t="s">
        <v>940</v>
      </c>
      <c r="C652" s="15" t="s">
        <v>271</v>
      </c>
      <c r="E652" s="24">
        <v>10987</v>
      </c>
      <c r="G652" s="24">
        <v>0</v>
      </c>
      <c r="I652" s="24">
        <v>0</v>
      </c>
      <c r="K652" s="24">
        <v>0</v>
      </c>
      <c r="M652" s="24">
        <v>5153</v>
      </c>
      <c r="O652" s="24">
        <v>5132</v>
      </c>
      <c r="Q652" s="24">
        <v>50078</v>
      </c>
      <c r="S652" s="24">
        <v>0</v>
      </c>
      <c r="U652" s="24">
        <v>3900</v>
      </c>
      <c r="W652" s="24">
        <v>919</v>
      </c>
      <c r="Y652" s="24">
        <v>0</v>
      </c>
      <c r="AA652" s="24">
        <v>0</v>
      </c>
      <c r="AC652" s="24">
        <v>0</v>
      </c>
      <c r="AE652" s="24">
        <f t="shared" si="27"/>
        <v>76169</v>
      </c>
      <c r="AF652" s="24"/>
      <c r="AG652" s="24">
        <v>6910</v>
      </c>
      <c r="AH652" s="24"/>
      <c r="AI652" s="24">
        <v>-36048</v>
      </c>
      <c r="AJ652" s="24"/>
      <c r="AK652" s="24">
        <v>-29138</v>
      </c>
      <c r="AL652" s="24">
        <f>+'Gov Rev'!AI649-'Gov Exp'!AE652+'Gov Exp'!AI652-'Gov Exp'!AK652</f>
        <v>0</v>
      </c>
      <c r="AM652" s="15" t="str">
        <f>'Gov Rev'!A649</f>
        <v>Trimble</v>
      </c>
      <c r="AN652" s="15" t="str">
        <f t="shared" si="28"/>
        <v>Trimble</v>
      </c>
      <c r="AO652" s="15" t="b">
        <f t="shared" si="29"/>
        <v>1</v>
      </c>
    </row>
    <row r="653" spans="1:41" ht="12" customHeight="1" x14ac:dyDescent="0.2">
      <c r="A653" s="1" t="s">
        <v>560</v>
      </c>
      <c r="B653" s="1"/>
      <c r="C653" s="1" t="s">
        <v>560</v>
      </c>
      <c r="E653" s="24">
        <v>57935.99</v>
      </c>
      <c r="G653" s="24">
        <v>247.23</v>
      </c>
      <c r="I653" s="24">
        <v>26026.58</v>
      </c>
      <c r="K653" s="24">
        <v>8345.32</v>
      </c>
      <c r="M653" s="24">
        <v>36930.620000000003</v>
      </c>
      <c r="O653" s="24">
        <v>66626.94</v>
      </c>
      <c r="Q653" s="24">
        <v>93681.52</v>
      </c>
      <c r="S653" s="24">
        <v>2102.46</v>
      </c>
      <c r="U653" s="24">
        <v>0</v>
      </c>
      <c r="W653" s="24">
        <v>0</v>
      </c>
      <c r="Y653" s="24">
        <v>0</v>
      </c>
      <c r="AA653" s="24">
        <v>0</v>
      </c>
      <c r="AC653" s="24">
        <v>0</v>
      </c>
      <c r="AE653" s="24">
        <f t="shared" si="27"/>
        <v>291896.66000000003</v>
      </c>
      <c r="AF653" s="24"/>
      <c r="AG653" s="24">
        <v>24907.95</v>
      </c>
      <c r="AH653" s="24"/>
      <c r="AI653" s="24">
        <v>322910.28000000003</v>
      </c>
      <c r="AJ653" s="24"/>
      <c r="AK653" s="24">
        <v>347818.23</v>
      </c>
      <c r="AL653" s="24">
        <f>+'Gov Rev'!AI650-'Gov Exp'!AE653+'Gov Exp'!AI653-'Gov Exp'!AK653</f>
        <v>0</v>
      </c>
      <c r="AM653" s="15" t="str">
        <f>'Gov Rev'!A650</f>
        <v>Tuscarawas</v>
      </c>
      <c r="AN653" s="15" t="str">
        <f t="shared" si="28"/>
        <v>Tuscarawas</v>
      </c>
      <c r="AO653" s="15" t="b">
        <f t="shared" si="29"/>
        <v>1</v>
      </c>
    </row>
    <row r="654" spans="1:41" ht="12" customHeight="1" x14ac:dyDescent="0.2">
      <c r="A654" s="15" t="s">
        <v>337</v>
      </c>
      <c r="C654" s="15" t="s">
        <v>329</v>
      </c>
      <c r="E654" s="24">
        <v>617534</v>
      </c>
      <c r="G654" s="24">
        <v>4514</v>
      </c>
      <c r="I654" s="24">
        <v>1449</v>
      </c>
      <c r="K654" s="24">
        <v>0</v>
      </c>
      <c r="M654" s="24">
        <v>67792</v>
      </c>
      <c r="O654" s="24">
        <v>57211</v>
      </c>
      <c r="Q654" s="24">
        <v>168993</v>
      </c>
      <c r="S654" s="24">
        <v>26041</v>
      </c>
      <c r="U654" s="24">
        <v>82558</v>
      </c>
      <c r="W654" s="24">
        <v>16528</v>
      </c>
      <c r="Y654" s="24">
        <v>229086</v>
      </c>
      <c r="AA654" s="24">
        <v>0</v>
      </c>
      <c r="AC654" s="24">
        <v>0</v>
      </c>
      <c r="AE654" s="24">
        <f t="shared" si="27"/>
        <v>1271706</v>
      </c>
      <c r="AF654" s="24"/>
      <c r="AG654" s="24">
        <v>65463</v>
      </c>
      <c r="AH654" s="24"/>
      <c r="AI654" s="24">
        <v>322835</v>
      </c>
      <c r="AJ654" s="24"/>
      <c r="AK654" s="24">
        <v>388298</v>
      </c>
      <c r="AL654" s="24">
        <f>+'Gov Rev'!AI651-'Gov Exp'!AE654+'Gov Exp'!AI654-'Gov Exp'!AK654</f>
        <v>0</v>
      </c>
      <c r="AM654" s="15" t="str">
        <f>'Gov Rev'!A651</f>
        <v>Union City</v>
      </c>
      <c r="AN654" s="15" t="str">
        <f t="shared" si="28"/>
        <v>Union City</v>
      </c>
      <c r="AO654" s="15" t="b">
        <f t="shared" si="29"/>
        <v>1</v>
      </c>
    </row>
    <row r="655" spans="1:41" s="31" customFormat="1" ht="12" customHeight="1" x14ac:dyDescent="0.2">
      <c r="A655" s="10" t="s">
        <v>569</v>
      </c>
      <c r="B655" s="10"/>
      <c r="C655" s="10" t="s">
        <v>570</v>
      </c>
      <c r="D655" s="15"/>
      <c r="E655" s="24">
        <v>3026.78</v>
      </c>
      <c r="F655" s="24"/>
      <c r="G655" s="24">
        <v>0</v>
      </c>
      <c r="H655" s="24"/>
      <c r="I655" s="24">
        <v>531.07000000000005</v>
      </c>
      <c r="J655" s="24"/>
      <c r="K655" s="24">
        <v>0</v>
      </c>
      <c r="L655" s="24"/>
      <c r="M655" s="24">
        <v>413.87</v>
      </c>
      <c r="N655" s="24"/>
      <c r="O655" s="24">
        <v>1382.64</v>
      </c>
      <c r="P655" s="24"/>
      <c r="Q655" s="24">
        <v>12320.59</v>
      </c>
      <c r="R655" s="24"/>
      <c r="S655" s="24">
        <v>0</v>
      </c>
      <c r="T655" s="24"/>
      <c r="U655" s="24">
        <v>0</v>
      </c>
      <c r="V655" s="24"/>
      <c r="W655" s="24">
        <v>0</v>
      </c>
      <c r="X655" s="24"/>
      <c r="Y655" s="24">
        <v>0</v>
      </c>
      <c r="Z655" s="24"/>
      <c r="AA655" s="24">
        <v>0</v>
      </c>
      <c r="AB655" s="24"/>
      <c r="AC655" s="24">
        <v>0</v>
      </c>
      <c r="AD655" s="24"/>
      <c r="AE655" s="24">
        <f t="shared" si="27"/>
        <v>17674.95</v>
      </c>
      <c r="AF655" s="24"/>
      <c r="AG655" s="24">
        <v>11949.7</v>
      </c>
      <c r="AH655" s="24"/>
      <c r="AI655" s="24">
        <v>93659.46</v>
      </c>
      <c r="AJ655" s="24"/>
      <c r="AK655" s="24">
        <v>105609.16</v>
      </c>
      <c r="AL655" s="24">
        <f>+'Gov Rev'!AI652-'Gov Exp'!AE655+'Gov Exp'!AI655-'Gov Exp'!AK655</f>
        <v>0</v>
      </c>
      <c r="AM655" s="15" t="str">
        <f>'Gov Rev'!A652</f>
        <v>Unionville Center</v>
      </c>
      <c r="AN655" s="15" t="str">
        <f t="shared" si="28"/>
        <v>Unionville Center</v>
      </c>
      <c r="AO655" s="15" t="b">
        <f t="shared" si="29"/>
        <v>1</v>
      </c>
    </row>
    <row r="656" spans="1:41" ht="12" customHeight="1" x14ac:dyDescent="0.2">
      <c r="A656" s="1" t="s">
        <v>13</v>
      </c>
      <c r="B656" s="1"/>
      <c r="C656" s="1" t="s">
        <v>740</v>
      </c>
      <c r="E656" s="24">
        <v>30999.42</v>
      </c>
      <c r="G656" s="24">
        <v>0</v>
      </c>
      <c r="I656" s="24">
        <v>2069.9</v>
      </c>
      <c r="K656" s="24">
        <v>0</v>
      </c>
      <c r="M656" s="24">
        <v>504</v>
      </c>
      <c r="O656" s="24">
        <v>44661.3</v>
      </c>
      <c r="Q656" s="24">
        <v>29040.11</v>
      </c>
      <c r="S656" s="24">
        <v>0</v>
      </c>
      <c r="U656" s="24">
        <v>38749.9</v>
      </c>
      <c r="W656" s="24">
        <v>0</v>
      </c>
      <c r="Y656" s="24">
        <v>0</v>
      </c>
      <c r="AA656" s="24">
        <v>0</v>
      </c>
      <c r="AC656" s="24">
        <v>0</v>
      </c>
      <c r="AE656" s="24">
        <f t="shared" si="27"/>
        <v>146024.63</v>
      </c>
      <c r="AF656" s="24"/>
      <c r="AG656" s="24">
        <v>-67172.86</v>
      </c>
      <c r="AH656" s="24"/>
      <c r="AI656" s="24">
        <v>165523.35999999999</v>
      </c>
      <c r="AJ656" s="24"/>
      <c r="AK656" s="24">
        <v>98350.5</v>
      </c>
      <c r="AL656" s="24">
        <f>+'Gov Rev'!AI653-'Gov Exp'!AE656+'Gov Exp'!AI656-'Gov Exp'!AK656</f>
        <v>0</v>
      </c>
      <c r="AM656" s="15" t="str">
        <f>'Gov Rev'!A653</f>
        <v>Uniopolis</v>
      </c>
      <c r="AN656" s="15" t="str">
        <f t="shared" si="28"/>
        <v>Uniopolis</v>
      </c>
      <c r="AO656" s="15" t="b">
        <f t="shared" si="29"/>
        <v>1</v>
      </c>
    </row>
    <row r="657" spans="1:41" ht="12" customHeight="1" x14ac:dyDescent="0.2">
      <c r="A657" s="1" t="s">
        <v>76</v>
      </c>
      <c r="B657" s="1"/>
      <c r="C657" s="1" t="s">
        <v>758</v>
      </c>
      <c r="E657" s="24">
        <v>31935.54</v>
      </c>
      <c r="G657" s="24">
        <v>0</v>
      </c>
      <c r="I657" s="24">
        <v>2249.8000000000002</v>
      </c>
      <c r="K657" s="24">
        <v>11678</v>
      </c>
      <c r="M657" s="24">
        <v>0</v>
      </c>
      <c r="O657" s="24">
        <v>103743.65</v>
      </c>
      <c r="Q657" s="24">
        <v>1122947.55</v>
      </c>
      <c r="S657" s="24">
        <v>0</v>
      </c>
      <c r="U657" s="24">
        <v>0</v>
      </c>
      <c r="W657" s="24">
        <v>8280.89</v>
      </c>
      <c r="Y657" s="24">
        <v>597956.36</v>
      </c>
      <c r="AA657" s="24">
        <v>0</v>
      </c>
      <c r="AC657" s="24">
        <v>158362.82999999999</v>
      </c>
      <c r="AE657" s="24">
        <f t="shared" si="27"/>
        <v>2037154.62</v>
      </c>
      <c r="AF657" s="24"/>
      <c r="AG657" s="24">
        <v>169975.57</v>
      </c>
      <c r="AH657" s="24"/>
      <c r="AI657" s="24">
        <v>2454578.2000000002</v>
      </c>
      <c r="AJ657" s="24"/>
      <c r="AK657" s="24">
        <v>2624553.77</v>
      </c>
      <c r="AL657" s="24">
        <f>+'Gov Rev'!AI654-'Gov Exp'!AE657+'Gov Exp'!AI657-'Gov Exp'!AK657</f>
        <v>0</v>
      </c>
      <c r="AM657" s="15" t="str">
        <f>'Gov Rev'!A654</f>
        <v>Urbancrest</v>
      </c>
      <c r="AN657" s="15" t="str">
        <f t="shared" si="28"/>
        <v>Urbancrest</v>
      </c>
      <c r="AO657" s="15" t="b">
        <f t="shared" si="29"/>
        <v>1</v>
      </c>
    </row>
    <row r="658" spans="1:41" ht="12" customHeight="1" x14ac:dyDescent="0.2">
      <c r="A658" s="15" t="s">
        <v>444</v>
      </c>
      <c r="C658" s="15" t="s">
        <v>439</v>
      </c>
      <c r="E658" s="24">
        <f>360255+10434</f>
        <v>370689</v>
      </c>
      <c r="G658" s="24">
        <v>4500</v>
      </c>
      <c r="I658" s="24">
        <v>810</v>
      </c>
      <c r="K658" s="24">
        <f>211+3278</f>
        <v>3489</v>
      </c>
      <c r="M658" s="24">
        <v>25958</v>
      </c>
      <c r="O658" s="24">
        <v>143828</v>
      </c>
      <c r="Q658" s="24">
        <f>236811+1691</f>
        <v>238502</v>
      </c>
      <c r="S658" s="24">
        <v>1948</v>
      </c>
      <c r="U658" s="24">
        <v>63834</v>
      </c>
      <c r="W658" s="24">
        <v>0</v>
      </c>
      <c r="Y658" s="24">
        <v>218104</v>
      </c>
      <c r="AA658" s="24">
        <v>0</v>
      </c>
      <c r="AC658" s="24">
        <v>0</v>
      </c>
      <c r="AE658" s="24">
        <f t="shared" si="27"/>
        <v>1071662</v>
      </c>
      <c r="AF658" s="24"/>
      <c r="AG658" s="24">
        <f>5945+86989+71406+61877</f>
        <v>226217</v>
      </c>
      <c r="AH658" s="24"/>
      <c r="AI658" s="24">
        <f>93380+52375+209451+128202</f>
        <v>483408</v>
      </c>
      <c r="AJ658" s="24"/>
      <c r="AK658" s="24">
        <f>99325+139364+280857+190079</f>
        <v>709625</v>
      </c>
      <c r="AL658" s="24">
        <f>+'Gov Rev'!AI655-'Gov Exp'!AE658+'Gov Exp'!AI658-'Gov Exp'!AK658</f>
        <v>0</v>
      </c>
      <c r="AM658" s="15" t="str">
        <f>'Gov Rev'!A655</f>
        <v>Utica</v>
      </c>
      <c r="AN658" s="15" t="str">
        <f t="shared" si="28"/>
        <v>Utica</v>
      </c>
      <c r="AO658" s="15" t="b">
        <f t="shared" si="29"/>
        <v>1</v>
      </c>
    </row>
    <row r="659" spans="1:41" ht="12" customHeight="1" x14ac:dyDescent="0.2">
      <c r="A659" s="15" t="s">
        <v>448</v>
      </c>
      <c r="C659" s="15" t="s">
        <v>446</v>
      </c>
      <c r="E659" s="24">
        <v>0</v>
      </c>
      <c r="G659" s="24">
        <v>0</v>
      </c>
      <c r="I659" s="24">
        <v>0</v>
      </c>
      <c r="K659" s="24">
        <v>0</v>
      </c>
      <c r="M659" s="24">
        <v>0</v>
      </c>
      <c r="O659" s="24">
        <v>9454</v>
      </c>
      <c r="Q659" s="24">
        <v>24966</v>
      </c>
      <c r="S659" s="24">
        <v>0</v>
      </c>
      <c r="U659" s="24">
        <v>0</v>
      </c>
      <c r="W659" s="24">
        <v>0</v>
      </c>
      <c r="Y659" s="24">
        <v>0</v>
      </c>
      <c r="AA659" s="24">
        <v>0</v>
      </c>
      <c r="AC659" s="24">
        <v>0</v>
      </c>
      <c r="AE659" s="24">
        <f t="shared" si="27"/>
        <v>34420</v>
      </c>
      <c r="AF659" s="24"/>
      <c r="AG659" s="24">
        <v>10381</v>
      </c>
      <c r="AH659" s="24"/>
      <c r="AI659" s="24">
        <v>0</v>
      </c>
      <c r="AJ659" s="24"/>
      <c r="AK659" s="24">
        <v>10381</v>
      </c>
      <c r="AL659" s="24">
        <f>+'Gov Rev'!AI656-'Gov Exp'!AE659+'Gov Exp'!AI659-'Gov Exp'!AK659</f>
        <v>0</v>
      </c>
      <c r="AM659" s="15" t="str">
        <f>'Gov Rev'!A656</f>
        <v>Valley Hi</v>
      </c>
      <c r="AN659" s="15" t="str">
        <f t="shared" si="28"/>
        <v>Valley Hi</v>
      </c>
      <c r="AO659" s="15" t="b">
        <f t="shared" si="29"/>
        <v>1</v>
      </c>
    </row>
    <row r="660" spans="1:41" ht="12" customHeight="1" x14ac:dyDescent="0.2">
      <c r="A660" s="15" t="s">
        <v>326</v>
      </c>
      <c r="C660" s="15" t="s">
        <v>316</v>
      </c>
      <c r="E660" s="24">
        <v>4730892</v>
      </c>
      <c r="G660" s="24">
        <v>12660</v>
      </c>
      <c r="I660" s="24">
        <v>728534</v>
      </c>
      <c r="K660" s="24">
        <v>0</v>
      </c>
      <c r="M660" s="24">
        <v>355572</v>
      </c>
      <c r="O660" s="24">
        <v>1199062</v>
      </c>
      <c r="Q660" s="24">
        <v>1860762</v>
      </c>
      <c r="S660" s="24">
        <v>3435020</v>
      </c>
      <c r="U660" s="24">
        <v>210000</v>
      </c>
      <c r="W660" s="24">
        <v>100877</v>
      </c>
      <c r="Y660" s="24">
        <v>668000</v>
      </c>
      <c r="AA660" s="24">
        <v>343109</v>
      </c>
      <c r="AC660" s="24">
        <v>0</v>
      </c>
      <c r="AE660" s="24">
        <f t="shared" si="27"/>
        <v>13644488</v>
      </c>
      <c r="AF660" s="24"/>
      <c r="AG660" s="24">
        <v>840722</v>
      </c>
      <c r="AH660" s="24"/>
      <c r="AI660" s="24">
        <v>8673139</v>
      </c>
      <c r="AJ660" s="24"/>
      <c r="AK660" s="24">
        <v>9513861</v>
      </c>
      <c r="AL660" s="24">
        <f>+'Gov Rev'!AI657-'Gov Exp'!AE660+'Gov Exp'!AI660-'Gov Exp'!AK660</f>
        <v>0</v>
      </c>
      <c r="AM660" s="15" t="str">
        <f>'Gov Rev'!A657</f>
        <v>Valley View</v>
      </c>
      <c r="AN660" s="15" t="str">
        <f t="shared" si="28"/>
        <v>Valley View</v>
      </c>
      <c r="AO660" s="15" t="b">
        <f t="shared" si="29"/>
        <v>1</v>
      </c>
    </row>
    <row r="661" spans="1:41" s="31" customFormat="1" ht="12" customHeight="1" x14ac:dyDescent="0.2">
      <c r="A661" s="1" t="s">
        <v>77</v>
      </c>
      <c r="B661" s="1"/>
      <c r="C661" s="1" t="s">
        <v>758</v>
      </c>
      <c r="D661" s="15"/>
      <c r="E661" s="24">
        <v>203241.07</v>
      </c>
      <c r="F661" s="24"/>
      <c r="G661" s="24">
        <v>0</v>
      </c>
      <c r="H661" s="24"/>
      <c r="I661" s="24">
        <v>2994.47</v>
      </c>
      <c r="J661" s="24"/>
      <c r="K661" s="24">
        <v>0</v>
      </c>
      <c r="L661" s="24"/>
      <c r="M661" s="24">
        <v>0</v>
      </c>
      <c r="N661" s="24"/>
      <c r="O661" s="24">
        <v>7439.54</v>
      </c>
      <c r="P661" s="24"/>
      <c r="Q661" s="24">
        <v>111765.73</v>
      </c>
      <c r="R661" s="24"/>
      <c r="S661" s="24">
        <v>2458.37</v>
      </c>
      <c r="T661" s="24"/>
      <c r="U661" s="24">
        <v>18524.61</v>
      </c>
      <c r="V661" s="24"/>
      <c r="W661" s="24">
        <v>1213.4000000000001</v>
      </c>
      <c r="X661" s="24"/>
      <c r="Y661" s="24">
        <v>9577.5499999999993</v>
      </c>
      <c r="Z661" s="24"/>
      <c r="AA661" s="24">
        <v>0</v>
      </c>
      <c r="AB661" s="24"/>
      <c r="AC661" s="24">
        <v>175.99</v>
      </c>
      <c r="AD661" s="24"/>
      <c r="AE661" s="24">
        <f t="shared" si="27"/>
        <v>357390.73</v>
      </c>
      <c r="AF661" s="24"/>
      <c r="AG661" s="24">
        <v>16111.59</v>
      </c>
      <c r="AH661" s="24"/>
      <c r="AI661" s="24">
        <v>139622.9</v>
      </c>
      <c r="AJ661" s="24"/>
      <c r="AK661" s="24">
        <v>155734.49</v>
      </c>
      <c r="AL661" s="24">
        <f>+'Gov Rev'!AI658-'Gov Exp'!AE661+'Gov Exp'!AI661-'Gov Exp'!AK661</f>
        <v>0</v>
      </c>
      <c r="AM661" s="15" t="str">
        <f>'Gov Rev'!A658</f>
        <v>Valleyview</v>
      </c>
      <c r="AN661" s="15" t="str">
        <f t="shared" si="28"/>
        <v>Valleyview</v>
      </c>
      <c r="AO661" s="15" t="b">
        <f t="shared" si="29"/>
        <v>1</v>
      </c>
    </row>
    <row r="662" spans="1:41" ht="12" customHeight="1" x14ac:dyDescent="0.2">
      <c r="A662" s="1" t="s">
        <v>393</v>
      </c>
      <c r="B662" s="1"/>
      <c r="C662" s="1" t="s">
        <v>388</v>
      </c>
      <c r="E662" s="24">
        <v>14975.06</v>
      </c>
      <c r="G662" s="24">
        <v>1691.28</v>
      </c>
      <c r="I662" s="24">
        <v>457.03</v>
      </c>
      <c r="K662" s="24">
        <v>3445.5</v>
      </c>
      <c r="M662" s="24">
        <v>952</v>
      </c>
      <c r="O662" s="24">
        <v>26324.01</v>
      </c>
      <c r="Q662" s="24">
        <v>27767.23</v>
      </c>
      <c r="S662" s="24">
        <v>158257.57</v>
      </c>
      <c r="U662" s="24">
        <v>89900.35</v>
      </c>
      <c r="W662" s="24">
        <v>91746.72</v>
      </c>
      <c r="Y662" s="24">
        <v>0</v>
      </c>
      <c r="AA662" s="24">
        <v>0</v>
      </c>
      <c r="AC662" s="24">
        <v>0</v>
      </c>
      <c r="AE662" s="24">
        <f t="shared" si="27"/>
        <v>415516.75</v>
      </c>
      <c r="AF662" s="24"/>
      <c r="AG662" s="24">
        <v>-18897.669999999998</v>
      </c>
      <c r="AH662" s="24"/>
      <c r="AI662" s="24">
        <v>399174.74</v>
      </c>
      <c r="AJ662" s="24"/>
      <c r="AK662" s="24">
        <v>380277.07</v>
      </c>
      <c r="AL662" s="24">
        <f>+'Gov Rev'!AI659-'Gov Exp'!AE662+'Gov Exp'!AI662-'Gov Exp'!AK662</f>
        <v>0</v>
      </c>
      <c r="AM662" s="15" t="str">
        <f>'Gov Rev'!A659</f>
        <v>Van Buren</v>
      </c>
      <c r="AN662" s="15" t="str">
        <f t="shared" si="28"/>
        <v>Van Buren</v>
      </c>
      <c r="AO662" s="15" t="b">
        <f t="shared" si="29"/>
        <v>1</v>
      </c>
    </row>
    <row r="663" spans="1:41" s="31" customFormat="1" ht="12" customHeight="1" x14ac:dyDescent="0.2">
      <c r="A663" s="1" t="s">
        <v>394</v>
      </c>
      <c r="B663" s="1"/>
      <c r="C663" s="1" t="s">
        <v>388</v>
      </c>
      <c r="D663" s="15"/>
      <c r="E663" s="24">
        <v>22023.8</v>
      </c>
      <c r="F663" s="24"/>
      <c r="G663" s="24">
        <v>1469.56</v>
      </c>
      <c r="H663" s="24"/>
      <c r="I663" s="24">
        <v>9338.15</v>
      </c>
      <c r="J663" s="24"/>
      <c r="K663" s="24">
        <v>605.04</v>
      </c>
      <c r="L663" s="24"/>
      <c r="M663" s="24">
        <v>0</v>
      </c>
      <c r="N663" s="24"/>
      <c r="O663" s="24">
        <v>10849.78</v>
      </c>
      <c r="P663" s="24"/>
      <c r="Q663" s="24">
        <v>27599.33</v>
      </c>
      <c r="R663" s="24"/>
      <c r="S663" s="24">
        <v>0</v>
      </c>
      <c r="T663" s="24"/>
      <c r="U663" s="24">
        <v>1000</v>
      </c>
      <c r="V663" s="24"/>
      <c r="W663" s="24">
        <v>1739.06</v>
      </c>
      <c r="X663" s="24"/>
      <c r="Y663" s="24">
        <v>0</v>
      </c>
      <c r="Z663" s="24"/>
      <c r="AA663" s="24">
        <v>0</v>
      </c>
      <c r="AB663" s="24"/>
      <c r="AC663" s="24">
        <v>223.5</v>
      </c>
      <c r="AD663" s="24"/>
      <c r="AE663" s="24">
        <f t="shared" si="27"/>
        <v>74848.22</v>
      </c>
      <c r="AF663" s="24"/>
      <c r="AG663" s="24">
        <v>2420.39</v>
      </c>
      <c r="AH663" s="24"/>
      <c r="AI663" s="24">
        <v>142234.82999999999</v>
      </c>
      <c r="AJ663" s="24"/>
      <c r="AK663" s="24">
        <v>144655.22</v>
      </c>
      <c r="AL663" s="24">
        <f>+'Gov Rev'!AI660-'Gov Exp'!AE663+'Gov Exp'!AI663-'Gov Exp'!AK663</f>
        <v>0</v>
      </c>
      <c r="AM663" s="15" t="str">
        <f>'Gov Rev'!A660</f>
        <v>Vanlue</v>
      </c>
      <c r="AN663" s="15" t="str">
        <f t="shared" si="28"/>
        <v>Vanlue</v>
      </c>
      <c r="AO663" s="15" t="b">
        <f t="shared" si="29"/>
        <v>1</v>
      </c>
    </row>
    <row r="664" spans="1:41" ht="12" customHeight="1" x14ac:dyDescent="0.2">
      <c r="A664" s="1" t="s">
        <v>575</v>
      </c>
      <c r="B664" s="1"/>
      <c r="C664" s="1" t="s">
        <v>572</v>
      </c>
      <c r="E664" s="24">
        <v>5401.89</v>
      </c>
      <c r="G664" s="24">
        <v>874.1</v>
      </c>
      <c r="I664" s="24">
        <v>4147.63</v>
      </c>
      <c r="K664" s="24">
        <v>0</v>
      </c>
      <c r="M664" s="24">
        <v>480</v>
      </c>
      <c r="O664" s="24">
        <v>3113.41</v>
      </c>
      <c r="Q664" s="24">
        <v>13058.19</v>
      </c>
      <c r="S664" s="24">
        <v>0</v>
      </c>
      <c r="U664" s="24">
        <v>0</v>
      </c>
      <c r="W664" s="24">
        <v>0</v>
      </c>
      <c r="Y664" s="24">
        <v>0</v>
      </c>
      <c r="AA664" s="24">
        <v>0</v>
      </c>
      <c r="AC664" s="24">
        <v>0</v>
      </c>
      <c r="AE664" s="24">
        <f t="shared" si="27"/>
        <v>27075.22</v>
      </c>
      <c r="AF664" s="24"/>
      <c r="AG664" s="24">
        <v>-4142.4799999999996</v>
      </c>
      <c r="AH664" s="24"/>
      <c r="AI664" s="24">
        <v>82352.639999999999</v>
      </c>
      <c r="AJ664" s="24"/>
      <c r="AK664" s="24">
        <v>78210.16</v>
      </c>
      <c r="AL664" s="24">
        <f>+'Gov Rev'!AI661-'Gov Exp'!AE664+'Gov Exp'!AI664-'Gov Exp'!AK664</f>
        <v>0</v>
      </c>
      <c r="AM664" s="15" t="str">
        <f>'Gov Rev'!A661</f>
        <v>Venedocia</v>
      </c>
      <c r="AN664" s="15" t="str">
        <f t="shared" si="28"/>
        <v>Venedocia</v>
      </c>
      <c r="AO664" s="15" t="b">
        <f t="shared" si="29"/>
        <v>1</v>
      </c>
    </row>
    <row r="665" spans="1:41" ht="12" customHeight="1" x14ac:dyDescent="0.2">
      <c r="A665" s="15" t="s">
        <v>511</v>
      </c>
      <c r="C665" s="15" t="s">
        <v>509</v>
      </c>
      <c r="E665" s="24">
        <v>53470</v>
      </c>
      <c r="G665" s="24">
        <v>0</v>
      </c>
      <c r="I665" s="24">
        <v>92</v>
      </c>
      <c r="K665" s="24">
        <v>1218</v>
      </c>
      <c r="M665" s="24">
        <v>0</v>
      </c>
      <c r="O665" s="24">
        <v>2463</v>
      </c>
      <c r="Q665" s="24">
        <v>437126</v>
      </c>
      <c r="S665" s="24">
        <v>198634</v>
      </c>
      <c r="U665" s="24">
        <v>0</v>
      </c>
      <c r="W665" s="24">
        <v>0</v>
      </c>
      <c r="Y665" s="24">
        <v>113984</v>
      </c>
      <c r="AA665" s="24">
        <v>0</v>
      </c>
      <c r="AC665" s="24">
        <v>0</v>
      </c>
      <c r="AE665" s="24">
        <f t="shared" si="27"/>
        <v>806987</v>
      </c>
      <c r="AF665" s="24"/>
      <c r="AG665" s="24">
        <f>779845-693001</f>
        <v>86844</v>
      </c>
      <c r="AH665" s="24"/>
      <c r="AI665" s="24">
        <f>AK665-AG665</f>
        <v>419788</v>
      </c>
      <c r="AJ665" s="24"/>
      <c r="AK665" s="24">
        <v>506632</v>
      </c>
      <c r="AL665" s="24">
        <f>+'Gov Rev'!AI662-'Gov Exp'!AE665+'Gov Exp'!AI665-'Gov Exp'!AK665</f>
        <v>0</v>
      </c>
      <c r="AM665" s="15" t="str">
        <f>'Gov Rev'!A662</f>
        <v>Verona</v>
      </c>
      <c r="AN665" s="15" t="str">
        <f t="shared" si="28"/>
        <v>Verona</v>
      </c>
      <c r="AO665" s="15" t="b">
        <f t="shared" si="29"/>
        <v>1</v>
      </c>
    </row>
    <row r="666" spans="1:41" ht="12" customHeight="1" x14ac:dyDescent="0.2">
      <c r="A666" s="15" t="s">
        <v>338</v>
      </c>
      <c r="C666" s="15" t="s">
        <v>329</v>
      </c>
      <c r="E666" s="24">
        <v>799911</v>
      </c>
      <c r="G666" s="24">
        <v>38074</v>
      </c>
      <c r="I666" s="24">
        <v>66960</v>
      </c>
      <c r="K666" s="24">
        <v>22057</v>
      </c>
      <c r="M666" s="24">
        <v>0</v>
      </c>
      <c r="O666" s="24">
        <v>342335</v>
      </c>
      <c r="Q666" s="24">
        <v>229855</v>
      </c>
      <c r="S666" s="24">
        <v>1808452</v>
      </c>
      <c r="U666" s="24">
        <v>607310</v>
      </c>
      <c r="W666" s="24">
        <v>310702</v>
      </c>
      <c r="Y666" s="24">
        <v>1080085</v>
      </c>
      <c r="AA666" s="24">
        <v>0</v>
      </c>
      <c r="AC666" s="24">
        <v>676</v>
      </c>
      <c r="AE666" s="24">
        <f t="shared" si="27"/>
        <v>5306417</v>
      </c>
      <c r="AF666" s="24"/>
      <c r="AG666" s="24">
        <v>-105255</v>
      </c>
      <c r="AH666" s="24"/>
      <c r="AI666" s="24">
        <f>2620855+1902916+117150+1295233</f>
        <v>5936154</v>
      </c>
      <c r="AJ666" s="24"/>
      <c r="AK666" s="24">
        <f>2449778+2056350+117153+1207618</f>
        <v>5830899</v>
      </c>
      <c r="AL666" s="24">
        <f>+'Gov Rev'!AI663-'Gov Exp'!AE666+'Gov Exp'!AI666-'Gov Exp'!AK666</f>
        <v>0</v>
      </c>
      <c r="AM666" s="15" t="str">
        <f>'Gov Rev'!A663</f>
        <v>Versailles</v>
      </c>
      <c r="AN666" s="15" t="str">
        <f t="shared" si="28"/>
        <v>Versailles</v>
      </c>
      <c r="AO666" s="15" t="b">
        <f t="shared" si="29"/>
        <v>1</v>
      </c>
    </row>
    <row r="667" spans="1:41" ht="12" customHeight="1" x14ac:dyDescent="0.2">
      <c r="A667" s="1" t="s">
        <v>82</v>
      </c>
      <c r="B667" s="1"/>
      <c r="C667" s="1" t="s">
        <v>760</v>
      </c>
      <c r="E667" s="24">
        <v>22389.77</v>
      </c>
      <c r="G667" s="24">
        <v>31909.4</v>
      </c>
      <c r="I667" s="24">
        <v>24173.7</v>
      </c>
      <c r="K667" s="24">
        <v>0</v>
      </c>
      <c r="M667" s="24">
        <v>4344.01</v>
      </c>
      <c r="O667" s="24">
        <v>63042.23</v>
      </c>
      <c r="Q667" s="24">
        <v>28774.720000000001</v>
      </c>
      <c r="S667" s="24">
        <v>0</v>
      </c>
      <c r="U667" s="24">
        <v>0</v>
      </c>
      <c r="W667" s="24">
        <v>0</v>
      </c>
      <c r="Y667" s="24">
        <v>0</v>
      </c>
      <c r="AA667" s="24">
        <v>0</v>
      </c>
      <c r="AC667" s="24">
        <v>0</v>
      </c>
      <c r="AE667" s="24">
        <f t="shared" si="27"/>
        <v>174633.83</v>
      </c>
      <c r="AF667" s="24"/>
      <c r="AG667" s="24">
        <v>-17805.599999999999</v>
      </c>
      <c r="AH667" s="24"/>
      <c r="AI667" s="24">
        <v>48210.36</v>
      </c>
      <c r="AJ667" s="24"/>
      <c r="AK667" s="24">
        <v>30404.76</v>
      </c>
      <c r="AL667" s="24">
        <f>+'Gov Rev'!AI664-'Gov Exp'!AE667+'Gov Exp'!AI667-'Gov Exp'!AK667</f>
        <v>0</v>
      </c>
      <c r="AM667" s="15" t="str">
        <f>'Gov Rev'!A664</f>
        <v>Vinton</v>
      </c>
      <c r="AN667" s="15" t="str">
        <f t="shared" si="28"/>
        <v>Vinton</v>
      </c>
      <c r="AO667" s="15" t="b">
        <f t="shared" si="29"/>
        <v>1</v>
      </c>
    </row>
    <row r="668" spans="1:41" s="31" customFormat="1" ht="12" customHeight="1" x14ac:dyDescent="0.2">
      <c r="A668" s="15" t="s">
        <v>435</v>
      </c>
      <c r="B668" s="15"/>
      <c r="C668" s="15" t="s">
        <v>430</v>
      </c>
      <c r="D668" s="15"/>
      <c r="E668" s="24">
        <v>630387</v>
      </c>
      <c r="F668" s="24"/>
      <c r="G668" s="24">
        <v>14735</v>
      </c>
      <c r="H668" s="24"/>
      <c r="I668" s="24">
        <v>0</v>
      </c>
      <c r="J668" s="24"/>
      <c r="K668" s="24">
        <v>11578</v>
      </c>
      <c r="L668" s="24"/>
      <c r="M668" s="24">
        <v>35437</v>
      </c>
      <c r="N668" s="24"/>
      <c r="O668" s="24">
        <v>410139</v>
      </c>
      <c r="P668" s="24"/>
      <c r="Q668" s="24">
        <v>241298</v>
      </c>
      <c r="R668" s="24"/>
      <c r="S668" s="24">
        <v>31977</v>
      </c>
      <c r="T668" s="24"/>
      <c r="U668" s="24">
        <v>5000</v>
      </c>
      <c r="V668" s="24"/>
      <c r="W668" s="24">
        <v>81093</v>
      </c>
      <c r="X668" s="24"/>
      <c r="Y668" s="24">
        <v>235000</v>
      </c>
      <c r="Z668" s="24"/>
      <c r="AA668" s="24">
        <v>0</v>
      </c>
      <c r="AB668" s="24"/>
      <c r="AC668" s="24">
        <v>0</v>
      </c>
      <c r="AD668" s="24"/>
      <c r="AE668" s="24">
        <f t="shared" si="27"/>
        <v>1696644</v>
      </c>
      <c r="AF668" s="24"/>
      <c r="AG668" s="24">
        <v>43469</v>
      </c>
      <c r="AH668" s="24"/>
      <c r="AI668" s="24">
        <v>11054828</v>
      </c>
      <c r="AJ668" s="24"/>
      <c r="AK668" s="24">
        <v>11098297</v>
      </c>
      <c r="AL668" s="24">
        <f>+'Gov Rev'!AI665-'Gov Exp'!AE668+'Gov Exp'!AI668-'Gov Exp'!AK668</f>
        <v>0</v>
      </c>
      <c r="AM668" s="15" t="str">
        <f>'Gov Rev'!A665</f>
        <v>Waite Hill</v>
      </c>
      <c r="AN668" s="15" t="str">
        <f t="shared" si="28"/>
        <v>Waite Hill</v>
      </c>
      <c r="AO668" s="15" t="b">
        <f t="shared" si="29"/>
        <v>1</v>
      </c>
    </row>
    <row r="669" spans="1:41" ht="12" customHeight="1" x14ac:dyDescent="0.2">
      <c r="A669" s="1" t="s">
        <v>419</v>
      </c>
      <c r="B669" s="1"/>
      <c r="C669" s="1" t="s">
        <v>416</v>
      </c>
      <c r="E669" s="24">
        <v>184472.42</v>
      </c>
      <c r="G669" s="24">
        <v>1075.5999999999999</v>
      </c>
      <c r="I669" s="24">
        <v>53388.06</v>
      </c>
      <c r="K669" s="24">
        <v>1397</v>
      </c>
      <c r="M669" s="24">
        <v>4088.72</v>
      </c>
      <c r="O669" s="24">
        <v>83225.72</v>
      </c>
      <c r="Q669" s="24">
        <v>121418.78</v>
      </c>
      <c r="S669" s="24">
        <v>65861.03</v>
      </c>
      <c r="U669" s="24">
        <v>579.9</v>
      </c>
      <c r="W669" s="24">
        <v>0</v>
      </c>
      <c r="Y669" s="24">
        <v>61580</v>
      </c>
      <c r="AA669" s="24">
        <v>0</v>
      </c>
      <c r="AC669" s="24">
        <v>0</v>
      </c>
      <c r="AE669" s="24">
        <f t="shared" si="27"/>
        <v>577087.2300000001</v>
      </c>
      <c r="AF669" s="24"/>
      <c r="AG669" s="24">
        <v>11330.67</v>
      </c>
      <c r="AH669" s="24"/>
      <c r="AI669" s="24">
        <v>511396.2</v>
      </c>
      <c r="AJ669" s="24"/>
      <c r="AK669" s="24">
        <v>522726.87</v>
      </c>
      <c r="AL669" s="24">
        <f>+'Gov Rev'!AI666-'Gov Exp'!AE669+'Gov Exp'!AI669-'Gov Exp'!AK669</f>
        <v>0</v>
      </c>
      <c r="AM669" s="15" t="str">
        <f>'Gov Rev'!A666</f>
        <v>Wakeman</v>
      </c>
      <c r="AN669" s="15" t="str">
        <f t="shared" si="28"/>
        <v>Wakeman</v>
      </c>
      <c r="AO669" s="15" t="b">
        <f t="shared" si="29"/>
        <v>1</v>
      </c>
    </row>
    <row r="670" spans="1:41" ht="12" customHeight="1" x14ac:dyDescent="0.2">
      <c r="A670" s="1" t="s">
        <v>261</v>
      </c>
      <c r="B670" s="1"/>
      <c r="C670" s="1" t="s">
        <v>601</v>
      </c>
      <c r="E670" s="24">
        <v>517435.86</v>
      </c>
      <c r="G670" s="24">
        <v>2546.0100000000002</v>
      </c>
      <c r="I670" s="24">
        <v>58480.86</v>
      </c>
      <c r="K670" s="24">
        <v>16.98</v>
      </c>
      <c r="M670" s="24">
        <v>0</v>
      </c>
      <c r="O670" s="24">
        <v>141302.75</v>
      </c>
      <c r="Q670" s="24">
        <v>431806.5</v>
      </c>
      <c r="S670" s="24">
        <v>160201.18</v>
      </c>
      <c r="U670" s="24">
        <v>6857.06</v>
      </c>
      <c r="W670" s="24">
        <v>17238.150000000001</v>
      </c>
      <c r="Y670" s="24">
        <v>0</v>
      </c>
      <c r="AA670" s="24">
        <v>0</v>
      </c>
      <c r="AC670" s="24">
        <v>0</v>
      </c>
      <c r="AE670" s="24">
        <f t="shared" si="27"/>
        <v>1335885.3499999999</v>
      </c>
      <c r="AF670" s="24"/>
      <c r="AG670" s="24">
        <v>160896.87</v>
      </c>
      <c r="AH670" s="24"/>
      <c r="AI670" s="24">
        <v>1606086.87</v>
      </c>
      <c r="AJ670" s="24"/>
      <c r="AK670" s="24">
        <v>1766983.74</v>
      </c>
      <c r="AL670" s="24">
        <f>+'Gov Rev'!AI667-'Gov Exp'!AE670+'Gov Exp'!AI670-'Gov Exp'!AK670</f>
        <v>0</v>
      </c>
      <c r="AM670" s="15" t="str">
        <f>'Gov Rev'!A667</f>
        <v>Walbridge</v>
      </c>
      <c r="AN670" s="15" t="str">
        <f t="shared" si="28"/>
        <v>Walbridge</v>
      </c>
      <c r="AO670" s="15" t="b">
        <f t="shared" si="29"/>
        <v>1</v>
      </c>
    </row>
    <row r="671" spans="1:41" ht="12" customHeight="1" x14ac:dyDescent="0.2">
      <c r="A671" s="1" t="s">
        <v>151</v>
      </c>
      <c r="B671" s="1"/>
      <c r="C671" s="1" t="s">
        <v>463</v>
      </c>
      <c r="E671" s="24">
        <v>9537.6</v>
      </c>
      <c r="G671" s="24">
        <v>0</v>
      </c>
      <c r="I671" s="24">
        <v>0</v>
      </c>
      <c r="K671" s="24">
        <v>7063.84</v>
      </c>
      <c r="M671" s="24">
        <v>4606.71</v>
      </c>
      <c r="O671" s="24">
        <v>3124.15</v>
      </c>
      <c r="Q671" s="24">
        <v>21331.18</v>
      </c>
      <c r="S671" s="24">
        <v>12500</v>
      </c>
      <c r="U671" s="24">
        <v>0</v>
      </c>
      <c r="W671" s="24">
        <v>0</v>
      </c>
      <c r="Y671" s="24">
        <v>0</v>
      </c>
      <c r="AA671" s="24">
        <v>0</v>
      </c>
      <c r="AC671" s="24">
        <v>0</v>
      </c>
      <c r="AE671" s="24">
        <f t="shared" ref="AE671:AE727" si="30">SUM(E671:AC671)</f>
        <v>58163.48</v>
      </c>
      <c r="AF671" s="24"/>
      <c r="AG671" s="24">
        <v>98757.58</v>
      </c>
      <c r="AH671" s="24"/>
      <c r="AI671" s="24">
        <v>262596.71999999997</v>
      </c>
      <c r="AJ671" s="24"/>
      <c r="AK671" s="24">
        <v>361354.3</v>
      </c>
      <c r="AL671" s="24">
        <f>+'Gov Rev'!AI668-'Gov Exp'!AE671+'Gov Exp'!AI671-'Gov Exp'!AK671</f>
        <v>0</v>
      </c>
      <c r="AM671" s="15" t="str">
        <f>'Gov Rev'!A668</f>
        <v>Waldo</v>
      </c>
      <c r="AN671" s="15" t="str">
        <f t="shared" ref="AN671:AN727" si="31">A671</f>
        <v>Waldo</v>
      </c>
      <c r="AO671" s="15" t="b">
        <f t="shared" ref="AO671:AO727" si="32">AM671=AN671</f>
        <v>1</v>
      </c>
    </row>
    <row r="672" spans="1:41" ht="12" customHeight="1" x14ac:dyDescent="0.2">
      <c r="A672" s="15" t="s">
        <v>50</v>
      </c>
      <c r="C672" s="15" t="s">
        <v>316</v>
      </c>
      <c r="D672" s="28"/>
      <c r="E672" s="24">
        <v>2353034.61</v>
      </c>
      <c r="G672" s="24">
        <v>10043.6</v>
      </c>
      <c r="I672" s="24">
        <v>186857.88</v>
      </c>
      <c r="K672" s="24">
        <v>59646.91</v>
      </c>
      <c r="M672" s="24">
        <v>321072.14</v>
      </c>
      <c r="O672" s="24">
        <v>734327.2</v>
      </c>
      <c r="Q672" s="24">
        <v>796401.9</v>
      </c>
      <c r="S672" s="24">
        <v>2981047.87</v>
      </c>
      <c r="U672" s="24">
        <v>225758.17</v>
      </c>
      <c r="W672" s="24">
        <v>9856.73</v>
      </c>
      <c r="Y672" s="24">
        <v>555000</v>
      </c>
      <c r="AA672" s="24">
        <v>0</v>
      </c>
      <c r="AC672" s="24">
        <v>34944.74</v>
      </c>
      <c r="AE672" s="24">
        <f t="shared" si="30"/>
        <v>8267991.7500000009</v>
      </c>
      <c r="AF672" s="24"/>
      <c r="AG672" s="24">
        <v>-1498095.66</v>
      </c>
      <c r="AH672" s="24"/>
      <c r="AI672" s="24">
        <v>4284020.59</v>
      </c>
      <c r="AJ672" s="24"/>
      <c r="AK672" s="24">
        <v>2785924.93</v>
      </c>
      <c r="AL672" s="24">
        <f>+'Gov Rev'!AI669-'Gov Exp'!AE672+'Gov Exp'!AI672-'Gov Exp'!AK672</f>
        <v>0</v>
      </c>
      <c r="AM672" s="15" t="str">
        <f>'Gov Rev'!A669</f>
        <v>Walton Hills</v>
      </c>
      <c r="AN672" s="15" t="str">
        <f t="shared" si="31"/>
        <v>Walton Hills</v>
      </c>
      <c r="AO672" s="15" t="b">
        <f t="shared" si="32"/>
        <v>1</v>
      </c>
    </row>
    <row r="673" spans="1:41" ht="12" customHeight="1" x14ac:dyDescent="0.2">
      <c r="A673" s="1" t="s">
        <v>835</v>
      </c>
      <c r="B673" s="1"/>
      <c r="C673" s="1" t="s">
        <v>308</v>
      </c>
      <c r="E673" s="24">
        <v>42729.81</v>
      </c>
      <c r="G673" s="24">
        <v>17617.2</v>
      </c>
      <c r="I673" s="24">
        <v>118370.85</v>
      </c>
      <c r="K673" s="24">
        <v>8774.43</v>
      </c>
      <c r="M673" s="24">
        <v>78.03</v>
      </c>
      <c r="O673" s="24">
        <v>27051.56</v>
      </c>
      <c r="Q673" s="24">
        <v>31299.200000000001</v>
      </c>
      <c r="S673" s="24">
        <v>0</v>
      </c>
      <c r="U673" s="24">
        <v>2802.84</v>
      </c>
      <c r="W673" s="24">
        <v>259.68</v>
      </c>
      <c r="Y673" s="24">
        <v>32.200000000000003</v>
      </c>
      <c r="AA673" s="24">
        <v>0</v>
      </c>
      <c r="AC673" s="24">
        <v>1750</v>
      </c>
      <c r="AE673" s="24">
        <f t="shared" si="30"/>
        <v>250765.8</v>
      </c>
      <c r="AF673" s="24"/>
      <c r="AG673" s="24">
        <v>31237.42</v>
      </c>
      <c r="AH673" s="24"/>
      <c r="AI673" s="24">
        <v>311575.83</v>
      </c>
      <c r="AJ673" s="24"/>
      <c r="AK673" s="24">
        <v>342813.25</v>
      </c>
      <c r="AL673" s="24">
        <f>+'Gov Rev'!AI670-'Gov Exp'!AE673+'Gov Exp'!AI673-'Gov Exp'!AK673</f>
        <v>0</v>
      </c>
      <c r="AM673" s="15" t="str">
        <f>'Gov Rev'!A670</f>
        <v>Warsaw</v>
      </c>
      <c r="AN673" s="15" t="str">
        <f t="shared" si="31"/>
        <v>Warsaw</v>
      </c>
      <c r="AO673" s="15" t="b">
        <f t="shared" si="32"/>
        <v>1</v>
      </c>
    </row>
    <row r="674" spans="1:41" s="31" customFormat="1" ht="12" customHeight="1" x14ac:dyDescent="0.2">
      <c r="A674" s="1" t="s">
        <v>48</v>
      </c>
      <c r="B674" s="1"/>
      <c r="C674" s="1" t="s">
        <v>305</v>
      </c>
      <c r="D674" s="15"/>
      <c r="E674" s="24">
        <v>129426.98</v>
      </c>
      <c r="F674" s="24"/>
      <c r="G674" s="24">
        <v>665.98</v>
      </c>
      <c r="H674" s="24"/>
      <c r="I674" s="24">
        <v>0</v>
      </c>
      <c r="J674" s="24"/>
      <c r="K674" s="24">
        <v>0</v>
      </c>
      <c r="L674" s="24"/>
      <c r="M674" s="24">
        <v>0</v>
      </c>
      <c r="N674" s="24"/>
      <c r="O674" s="24">
        <v>23616.22</v>
      </c>
      <c r="P674" s="24"/>
      <c r="Q674" s="24">
        <v>55166.66</v>
      </c>
      <c r="R674" s="24"/>
      <c r="S674" s="24">
        <v>19844.14</v>
      </c>
      <c r="T674" s="24"/>
      <c r="U674" s="24">
        <v>0</v>
      </c>
      <c r="V674" s="24"/>
      <c r="W674" s="24">
        <v>0</v>
      </c>
      <c r="X674" s="24"/>
      <c r="Y674" s="24">
        <v>0</v>
      </c>
      <c r="Z674" s="24"/>
      <c r="AA674" s="24">
        <v>0</v>
      </c>
      <c r="AB674" s="24"/>
      <c r="AC674" s="24">
        <v>0</v>
      </c>
      <c r="AD674" s="24"/>
      <c r="AE674" s="24">
        <f t="shared" si="30"/>
        <v>228719.97999999998</v>
      </c>
      <c r="AF674" s="24"/>
      <c r="AG674" s="24">
        <v>-16420.080000000002</v>
      </c>
      <c r="AH674" s="24"/>
      <c r="AI674" s="24">
        <v>364930.41</v>
      </c>
      <c r="AJ674" s="24"/>
      <c r="AK674" s="24">
        <v>348510.33</v>
      </c>
      <c r="AL674" s="24">
        <f>+'Gov Rev'!AI671-'Gov Exp'!AE674+'Gov Exp'!AI674-'Gov Exp'!AK674</f>
        <v>0</v>
      </c>
      <c r="AM674" s="15" t="str">
        <f>'Gov Rev'!A671</f>
        <v>Washingtonville</v>
      </c>
      <c r="AN674" s="15" t="str">
        <f t="shared" si="31"/>
        <v>Washingtonville</v>
      </c>
      <c r="AO674" s="15" t="b">
        <f t="shared" si="32"/>
        <v>1</v>
      </c>
    </row>
    <row r="675" spans="1:41" s="31" customFormat="1" ht="12" hidden="1" customHeight="1" x14ac:dyDescent="0.2">
      <c r="A675" s="1" t="s">
        <v>457</v>
      </c>
      <c r="B675" s="1"/>
      <c r="C675" s="1" t="s">
        <v>455</v>
      </c>
      <c r="D675" s="1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>
        <f t="shared" si="30"/>
        <v>0</v>
      </c>
      <c r="AF675" s="24"/>
      <c r="AG675" s="24"/>
      <c r="AH675" s="24"/>
      <c r="AI675" s="24"/>
      <c r="AJ675" s="24"/>
      <c r="AK675" s="24"/>
      <c r="AL675" s="24">
        <f>+'Gov Rev'!AI672-'Gov Exp'!AE675+'Gov Exp'!AI675-'Gov Exp'!AK675</f>
        <v>0</v>
      </c>
      <c r="AM675" s="15" t="str">
        <f>'Gov Rev'!A672</f>
        <v>Waterville</v>
      </c>
      <c r="AN675" s="15" t="str">
        <f t="shared" si="31"/>
        <v>Waterville</v>
      </c>
      <c r="AO675" s="15" t="b">
        <f t="shared" si="32"/>
        <v>1</v>
      </c>
    </row>
    <row r="676" spans="1:41" ht="12" customHeight="1" x14ac:dyDescent="0.2">
      <c r="A676" s="24" t="s">
        <v>965</v>
      </c>
      <c r="B676" s="24"/>
      <c r="C676" s="24" t="s">
        <v>506</v>
      </c>
      <c r="D676" s="24"/>
      <c r="E676" s="24">
        <v>1239451</v>
      </c>
      <c r="G676" s="24">
        <v>1470</v>
      </c>
      <c r="I676" s="24">
        <v>161349</v>
      </c>
      <c r="K676" s="24">
        <v>0</v>
      </c>
      <c r="M676" s="24">
        <v>0</v>
      </c>
      <c r="O676" s="24">
        <v>579646</v>
      </c>
      <c r="Q676" s="24">
        <v>672486</v>
      </c>
      <c r="S676" s="24">
        <v>7520</v>
      </c>
      <c r="U676" s="24">
        <v>709812</v>
      </c>
      <c r="W676" s="24">
        <v>24405</v>
      </c>
      <c r="Y676" s="24">
        <v>805868</v>
      </c>
      <c r="AA676" s="24">
        <v>0</v>
      </c>
      <c r="AC676" s="24">
        <v>0</v>
      </c>
      <c r="AE676" s="24">
        <f t="shared" si="30"/>
        <v>4202007</v>
      </c>
      <c r="AF676" s="24"/>
      <c r="AG676" s="24">
        <v>31417</v>
      </c>
      <c r="AH676" s="24"/>
      <c r="AI676" s="24">
        <v>1323124</v>
      </c>
      <c r="AJ676" s="24"/>
      <c r="AK676" s="24">
        <v>1354541</v>
      </c>
      <c r="AL676" s="24">
        <f>+'Gov Rev'!AI673-'Gov Exp'!AE676+'Gov Exp'!AI676-'Gov Exp'!AK676</f>
        <v>0</v>
      </c>
      <c r="AM676" s="15" t="str">
        <f>'Gov Rev'!A673</f>
        <v>Waverly</v>
      </c>
      <c r="AN676" s="15" t="str">
        <f t="shared" si="31"/>
        <v>Waverly</v>
      </c>
      <c r="AO676" s="15" t="b">
        <f t="shared" si="32"/>
        <v>1</v>
      </c>
    </row>
    <row r="677" spans="1:41" ht="12" customHeight="1" x14ac:dyDescent="0.2">
      <c r="A677" s="15" t="s">
        <v>588</v>
      </c>
      <c r="C677" s="15" t="s">
        <v>601</v>
      </c>
      <c r="E677" s="24">
        <v>106680</v>
      </c>
      <c r="G677" s="24">
        <v>458</v>
      </c>
      <c r="I677" s="24">
        <v>1980</v>
      </c>
      <c r="K677" s="24">
        <v>0</v>
      </c>
      <c r="M677" s="24">
        <v>14801</v>
      </c>
      <c r="O677" s="24">
        <v>36691</v>
      </c>
      <c r="Q677" s="24">
        <v>81549</v>
      </c>
      <c r="S677" s="24">
        <v>9481</v>
      </c>
      <c r="U677" s="24">
        <v>19456</v>
      </c>
      <c r="W677" s="24">
        <v>1438</v>
      </c>
      <c r="Y677" s="24">
        <v>0</v>
      </c>
      <c r="AA677" s="24">
        <v>0</v>
      </c>
      <c r="AC677" s="24">
        <v>0</v>
      </c>
      <c r="AE677" s="24">
        <f t="shared" si="30"/>
        <v>272534</v>
      </c>
      <c r="AF677" s="24"/>
      <c r="AG677" s="24">
        <v>6504</v>
      </c>
      <c r="AH677" s="24"/>
      <c r="AI677" s="24">
        <v>491334</v>
      </c>
      <c r="AJ677" s="24"/>
      <c r="AK677" s="24">
        <v>497838</v>
      </c>
      <c r="AL677" s="24">
        <f>+'Gov Rev'!AI674-'Gov Exp'!AE677+'Gov Exp'!AI677-'Gov Exp'!AK677</f>
        <v>0</v>
      </c>
      <c r="AM677" s="15" t="str">
        <f>'Gov Rev'!A674</f>
        <v>Wayne</v>
      </c>
      <c r="AN677" s="15" t="str">
        <f t="shared" si="31"/>
        <v>Wayne</v>
      </c>
      <c r="AO677" s="15" t="b">
        <f t="shared" si="32"/>
        <v>1</v>
      </c>
    </row>
    <row r="678" spans="1:41" ht="12" hidden="1" customHeight="1" x14ac:dyDescent="0.2">
      <c r="A678" s="1" t="s">
        <v>339</v>
      </c>
      <c r="B678" s="1"/>
      <c r="C678" s="1" t="s">
        <v>329</v>
      </c>
      <c r="AE678" s="24">
        <f t="shared" si="30"/>
        <v>0</v>
      </c>
      <c r="AF678" s="24"/>
      <c r="AG678" s="24"/>
      <c r="AH678" s="24"/>
      <c r="AI678" s="24"/>
      <c r="AJ678" s="24"/>
      <c r="AK678" s="24"/>
      <c r="AL678" s="24">
        <f>+'Gov Rev'!AI675-'Gov Exp'!AE678+'Gov Exp'!AI678-'Gov Exp'!AK678</f>
        <v>0</v>
      </c>
      <c r="AM678" s="15" t="str">
        <f>'Gov Rev'!A675</f>
        <v>Wayne Lakes</v>
      </c>
      <c r="AN678" s="15" t="str">
        <f t="shared" si="31"/>
        <v>Wayne Lakes</v>
      </c>
      <c r="AO678" s="15" t="b">
        <f t="shared" si="32"/>
        <v>1</v>
      </c>
    </row>
    <row r="679" spans="1:41" ht="12" customHeight="1" x14ac:dyDescent="0.2">
      <c r="A679" s="15" t="s">
        <v>547</v>
      </c>
      <c r="C679" s="15" t="s">
        <v>540</v>
      </c>
      <c r="E679" s="24">
        <v>117543</v>
      </c>
      <c r="G679" s="24">
        <v>21807</v>
      </c>
      <c r="I679" s="24">
        <v>0</v>
      </c>
      <c r="K679" s="24">
        <v>0</v>
      </c>
      <c r="M679" s="24">
        <v>0</v>
      </c>
      <c r="O679" s="24">
        <v>33633</v>
      </c>
      <c r="Q679" s="24">
        <v>161478</v>
      </c>
      <c r="S679" s="24">
        <v>186739</v>
      </c>
      <c r="U679" s="24">
        <v>14200</v>
      </c>
      <c r="W679" s="24">
        <v>0</v>
      </c>
      <c r="Y679" s="24">
        <v>0</v>
      </c>
      <c r="AA679" s="24">
        <v>0</v>
      </c>
      <c r="AC679" s="24">
        <v>0</v>
      </c>
      <c r="AE679" s="24">
        <f t="shared" si="30"/>
        <v>535400</v>
      </c>
      <c r="AF679" s="24"/>
      <c r="AG679" s="24">
        <v>-35011</v>
      </c>
      <c r="AH679" s="24"/>
      <c r="AI679" s="24">
        <f>AK679-AG679</f>
        <v>321795</v>
      </c>
      <c r="AJ679" s="24"/>
      <c r="AK679" s="24">
        <v>286784</v>
      </c>
      <c r="AL679" s="24">
        <f>+'Gov Rev'!AI676-'Gov Exp'!AE679+'Gov Exp'!AI679-'Gov Exp'!AK679</f>
        <v>0</v>
      </c>
      <c r="AM679" s="15" t="str">
        <f>'Gov Rev'!A676</f>
        <v>Waynesburg</v>
      </c>
      <c r="AN679" s="15" t="str">
        <f t="shared" si="31"/>
        <v>Waynesburg</v>
      </c>
      <c r="AO679" s="15" t="b">
        <f t="shared" si="32"/>
        <v>1</v>
      </c>
    </row>
    <row r="680" spans="1:41" ht="12" customHeight="1" x14ac:dyDescent="0.2">
      <c r="A680" s="1" t="s">
        <v>14</v>
      </c>
      <c r="B680" s="1"/>
      <c r="C680" s="1" t="s">
        <v>740</v>
      </c>
      <c r="E680" s="24">
        <v>84606.78</v>
      </c>
      <c r="G680" s="24">
        <v>29.4</v>
      </c>
      <c r="I680" s="24">
        <v>8138.26</v>
      </c>
      <c r="K680" s="24">
        <v>0</v>
      </c>
      <c r="M680" s="24">
        <v>25000</v>
      </c>
      <c r="O680" s="24">
        <v>92189.38</v>
      </c>
      <c r="Q680" s="24">
        <v>154451.72</v>
      </c>
      <c r="S680" s="24">
        <v>0</v>
      </c>
      <c r="U680" s="24">
        <v>14363.04</v>
      </c>
      <c r="W680" s="24">
        <v>0</v>
      </c>
      <c r="Y680" s="24">
        <v>0</v>
      </c>
      <c r="AA680" s="24">
        <v>0</v>
      </c>
      <c r="AC680" s="24">
        <v>0</v>
      </c>
      <c r="AE680" s="24">
        <f t="shared" si="30"/>
        <v>378778.58</v>
      </c>
      <c r="AF680" s="24"/>
      <c r="AG680" s="24">
        <v>-37793.019999999997</v>
      </c>
      <c r="AH680" s="24"/>
      <c r="AI680" s="24">
        <v>315973.21000000002</v>
      </c>
      <c r="AJ680" s="24"/>
      <c r="AK680" s="24">
        <v>278180.19</v>
      </c>
      <c r="AL680" s="24">
        <f>+'Gov Rev'!AI677-'Gov Exp'!AE680+'Gov Exp'!AI680-'Gov Exp'!AK680</f>
        <v>0</v>
      </c>
      <c r="AM680" s="15" t="str">
        <f>'Gov Rev'!A677</f>
        <v>Waynesfield</v>
      </c>
      <c r="AN680" s="15" t="str">
        <f t="shared" si="31"/>
        <v>Waynesfield</v>
      </c>
      <c r="AO680" s="15" t="b">
        <f t="shared" si="32"/>
        <v>1</v>
      </c>
    </row>
    <row r="681" spans="1:41" ht="12" customHeight="1" x14ac:dyDescent="0.2">
      <c r="A681" s="15" t="s">
        <v>583</v>
      </c>
      <c r="C681" s="15" t="s">
        <v>581</v>
      </c>
      <c r="E681" s="24">
        <v>317257</v>
      </c>
      <c r="G681" s="24">
        <v>868</v>
      </c>
      <c r="I681" s="24">
        <v>2861</v>
      </c>
      <c r="K681" s="24">
        <v>20450</v>
      </c>
      <c r="M681" s="24">
        <v>0</v>
      </c>
      <c r="O681" s="24">
        <v>116240</v>
      </c>
      <c r="Q681" s="24">
        <v>237142</v>
      </c>
      <c r="S681" s="24">
        <v>161219</v>
      </c>
      <c r="U681" s="24">
        <v>311400</v>
      </c>
      <c r="W681" s="24">
        <v>37413</v>
      </c>
      <c r="Y681" s="24">
        <v>0</v>
      </c>
      <c r="AA681" s="24">
        <v>0</v>
      </c>
      <c r="AC681" s="24">
        <v>21078</v>
      </c>
      <c r="AE681" s="24">
        <f t="shared" si="30"/>
        <v>1225928</v>
      </c>
      <c r="AF681" s="24"/>
      <c r="AG681" s="24">
        <v>216382</v>
      </c>
      <c r="AH681" s="24"/>
      <c r="AI681" s="24">
        <v>890159</v>
      </c>
      <c r="AJ681" s="24"/>
      <c r="AK681" s="24">
        <v>1106541</v>
      </c>
      <c r="AL681" s="24">
        <f>+'Gov Rev'!AI681-'Gov Exp'!AE681+'Gov Exp'!AI681-'Gov Exp'!AK681</f>
        <v>0</v>
      </c>
      <c r="AM681" s="15" t="str">
        <f>'Gov Rev'!A681</f>
        <v>Waynesville</v>
      </c>
      <c r="AN681" s="15" t="str">
        <f t="shared" si="31"/>
        <v>Waynesville</v>
      </c>
      <c r="AO681" s="15" t="b">
        <f t="shared" si="32"/>
        <v>1</v>
      </c>
    </row>
    <row r="682" spans="1:41" ht="12" customHeight="1" x14ac:dyDescent="0.2">
      <c r="A682" s="15" t="s">
        <v>453</v>
      </c>
      <c r="C682" s="15" t="s">
        <v>451</v>
      </c>
      <c r="E682" s="24">
        <v>1027277</v>
      </c>
      <c r="G682" s="24">
        <v>23649</v>
      </c>
      <c r="I682" s="24">
        <v>57156</v>
      </c>
      <c r="K682" s="24">
        <v>98427</v>
      </c>
      <c r="M682" s="24">
        <v>0</v>
      </c>
      <c r="O682" s="24">
        <v>907857</v>
      </c>
      <c r="Q682" s="24">
        <v>400700</v>
      </c>
      <c r="S682" s="24">
        <v>1208202</v>
      </c>
      <c r="U682" s="24">
        <v>24332</v>
      </c>
      <c r="W682" s="24">
        <v>3783</v>
      </c>
      <c r="Y682" s="24">
        <v>0</v>
      </c>
      <c r="AA682" s="24">
        <v>0</v>
      </c>
      <c r="AC682" s="24">
        <v>0</v>
      </c>
      <c r="AE682" s="24">
        <f t="shared" si="30"/>
        <v>3751383</v>
      </c>
      <c r="AF682" s="24"/>
      <c r="AG682" s="24">
        <v>-112104</v>
      </c>
      <c r="AH682" s="24"/>
      <c r="AI682" s="24">
        <v>2531715</v>
      </c>
      <c r="AJ682" s="24"/>
      <c r="AK682" s="24">
        <v>2419611</v>
      </c>
      <c r="AL682" s="24">
        <f>+'Gov Rev'!AI682-'Gov Exp'!AE682+'Gov Exp'!AI682-'Gov Exp'!AK682</f>
        <v>0</v>
      </c>
      <c r="AM682" s="15" t="str">
        <f>'Gov Rev'!A682</f>
        <v>Wellington</v>
      </c>
      <c r="AN682" s="15" t="str">
        <f t="shared" si="31"/>
        <v>Wellington</v>
      </c>
      <c r="AO682" s="15" t="b">
        <f t="shared" si="32"/>
        <v>1</v>
      </c>
    </row>
    <row r="683" spans="1:41" ht="12" customHeight="1" x14ac:dyDescent="0.2">
      <c r="A683" s="1" t="s">
        <v>306</v>
      </c>
      <c r="B683" s="1"/>
      <c r="C683" s="1" t="s">
        <v>305</v>
      </c>
      <c r="E683" s="24">
        <v>864869.19</v>
      </c>
      <c r="G683" s="24">
        <v>70334.600000000006</v>
      </c>
      <c r="I683" s="24">
        <v>11970.86</v>
      </c>
      <c r="K683" s="24">
        <v>27312.85</v>
      </c>
      <c r="M683" s="24">
        <v>0</v>
      </c>
      <c r="O683" s="24">
        <v>161511.41</v>
      </c>
      <c r="Q683" s="24">
        <v>399936.33</v>
      </c>
      <c r="S683" s="24">
        <v>179067.51</v>
      </c>
      <c r="U683" s="24">
        <v>0</v>
      </c>
      <c r="W683" s="24">
        <v>0</v>
      </c>
      <c r="Y683" s="24">
        <v>108993</v>
      </c>
      <c r="AA683" s="24">
        <v>60000</v>
      </c>
      <c r="AC683" s="24">
        <v>0</v>
      </c>
      <c r="AE683" s="24">
        <f t="shared" si="30"/>
        <v>1883995.75</v>
      </c>
      <c r="AF683" s="24"/>
      <c r="AG683" s="24">
        <v>977219.57</v>
      </c>
      <c r="AH683" s="24"/>
      <c r="AI683" s="24">
        <v>224348.29</v>
      </c>
      <c r="AJ683" s="24"/>
      <c r="AK683" s="24">
        <v>1201567.8600000001</v>
      </c>
      <c r="AL683" s="24">
        <f>+'Gov Rev'!AI683-'Gov Exp'!AE683+'Gov Exp'!AI683-'Gov Exp'!AK683</f>
        <v>0</v>
      </c>
      <c r="AM683" s="15" t="str">
        <f>'Gov Rev'!A683</f>
        <v>Wellsville</v>
      </c>
      <c r="AN683" s="15" t="str">
        <f t="shared" si="31"/>
        <v>Wellsville</v>
      </c>
      <c r="AO683" s="15" t="b">
        <f t="shared" si="32"/>
        <v>1</v>
      </c>
    </row>
    <row r="684" spans="1:41" ht="12" customHeight="1" x14ac:dyDescent="0.2">
      <c r="A684" s="15" t="s">
        <v>512</v>
      </c>
      <c r="C684" s="15" t="s">
        <v>509</v>
      </c>
      <c r="E684" s="24">
        <v>574963</v>
      </c>
      <c r="G684" s="24">
        <v>3331</v>
      </c>
      <c r="I684" s="24">
        <v>17912</v>
      </c>
      <c r="K684" s="24">
        <v>5784</v>
      </c>
      <c r="M684" s="24">
        <v>2212</v>
      </c>
      <c r="O684" s="24">
        <v>127502</v>
      </c>
      <c r="Q684" s="24">
        <v>407979</v>
      </c>
      <c r="S684" s="24">
        <v>159339</v>
      </c>
      <c r="U684" s="24">
        <v>0</v>
      </c>
      <c r="W684" s="24">
        <v>0</v>
      </c>
      <c r="Y684" s="24">
        <v>0</v>
      </c>
      <c r="AA684" s="24">
        <v>0</v>
      </c>
      <c r="AC684" s="24">
        <v>0</v>
      </c>
      <c r="AE684" s="24">
        <f t="shared" si="30"/>
        <v>1299022</v>
      </c>
      <c r="AF684" s="24"/>
      <c r="AG684" s="24">
        <v>-114925</v>
      </c>
      <c r="AH684" s="24"/>
      <c r="AI684" s="24">
        <v>1074858</v>
      </c>
      <c r="AJ684" s="24"/>
      <c r="AK684" s="24">
        <v>959933</v>
      </c>
      <c r="AL684" s="24">
        <f>+'Gov Rev'!AI684-'Gov Exp'!AE684+'Gov Exp'!AI684-'Gov Exp'!AK684</f>
        <v>0</v>
      </c>
      <c r="AM684" s="15" t="str">
        <f>'Gov Rev'!A684</f>
        <v>West Alexandria</v>
      </c>
      <c r="AN684" s="15" t="str">
        <f t="shared" si="31"/>
        <v>West Alexandria</v>
      </c>
      <c r="AO684" s="15" t="b">
        <f t="shared" si="32"/>
        <v>1</v>
      </c>
    </row>
    <row r="685" spans="1:41" s="31" customFormat="1" ht="12" customHeight="1" x14ac:dyDescent="0.2">
      <c r="A685" s="1" t="s">
        <v>937</v>
      </c>
      <c r="B685" s="1"/>
      <c r="C685" s="1" t="s">
        <v>509</v>
      </c>
      <c r="D685" s="15"/>
      <c r="E685" s="24">
        <v>7666.08</v>
      </c>
      <c r="F685" s="24"/>
      <c r="G685" s="24">
        <v>0</v>
      </c>
      <c r="H685" s="24"/>
      <c r="I685" s="24">
        <v>11.64</v>
      </c>
      <c r="J685" s="24"/>
      <c r="K685" s="24">
        <v>0</v>
      </c>
      <c r="L685" s="24"/>
      <c r="M685" s="24">
        <v>0</v>
      </c>
      <c r="N685" s="24"/>
      <c r="O685" s="24">
        <v>218963.38</v>
      </c>
      <c r="P685" s="24"/>
      <c r="Q685" s="24">
        <v>33617.660000000003</v>
      </c>
      <c r="R685" s="24"/>
      <c r="S685" s="24">
        <v>0</v>
      </c>
      <c r="T685" s="24"/>
      <c r="U685" s="24">
        <v>0</v>
      </c>
      <c r="V685" s="24"/>
      <c r="W685" s="24">
        <v>0</v>
      </c>
      <c r="X685" s="24"/>
      <c r="Y685" s="24">
        <v>0</v>
      </c>
      <c r="Z685" s="24"/>
      <c r="AA685" s="24">
        <v>0</v>
      </c>
      <c r="AB685" s="24"/>
      <c r="AC685" s="24">
        <v>0</v>
      </c>
      <c r="AD685" s="24"/>
      <c r="AE685" s="24">
        <f t="shared" si="30"/>
        <v>260258.76</v>
      </c>
      <c r="AF685" s="24"/>
      <c r="AG685" s="24">
        <v>34354.11</v>
      </c>
      <c r="AH685" s="24"/>
      <c r="AI685" s="24">
        <v>90647.41</v>
      </c>
      <c r="AJ685" s="24"/>
      <c r="AK685" s="24">
        <v>125001.52</v>
      </c>
      <c r="AL685" s="24">
        <f>+'Gov Rev'!AI685-'Gov Exp'!AE685+'Gov Exp'!AI685-'Gov Exp'!AK685</f>
        <v>0</v>
      </c>
      <c r="AM685" s="15" t="str">
        <f>'Gov Rev'!A685</f>
        <v>West Elkton</v>
      </c>
      <c r="AN685" s="15" t="str">
        <f t="shared" si="31"/>
        <v>West Elkton</v>
      </c>
      <c r="AO685" s="15" t="b">
        <f t="shared" si="32"/>
        <v>1</v>
      </c>
    </row>
    <row r="686" spans="1:41" ht="12" customHeight="1" x14ac:dyDescent="0.2">
      <c r="A686" s="1" t="s">
        <v>230</v>
      </c>
      <c r="B686" s="1"/>
      <c r="C686" s="1" t="s">
        <v>805</v>
      </c>
      <c r="E686" s="24">
        <v>50888.09</v>
      </c>
      <c r="G686" s="24">
        <v>0</v>
      </c>
      <c r="I686" s="24">
        <v>11900.75</v>
      </c>
      <c r="K686" s="24">
        <v>0</v>
      </c>
      <c r="M686" s="24">
        <v>250</v>
      </c>
      <c r="O686" s="24">
        <v>9453.5499999999993</v>
      </c>
      <c r="Q686" s="24">
        <v>50251.97</v>
      </c>
      <c r="S686" s="24">
        <v>0</v>
      </c>
      <c r="U686" s="24">
        <v>0</v>
      </c>
      <c r="W686" s="24">
        <v>0</v>
      </c>
      <c r="Y686" s="24">
        <v>32156.55</v>
      </c>
      <c r="AA686" s="24">
        <v>8100</v>
      </c>
      <c r="AC686" s="24">
        <v>0</v>
      </c>
      <c r="AE686" s="24">
        <f t="shared" si="30"/>
        <v>163000.91</v>
      </c>
      <c r="AF686" s="24"/>
      <c r="AG686" s="24">
        <v>-4397.18</v>
      </c>
      <c r="AH686" s="24"/>
      <c r="AI686" s="24">
        <v>100137.67</v>
      </c>
      <c r="AJ686" s="24"/>
      <c r="AK686" s="24">
        <v>95740.49</v>
      </c>
      <c r="AL686" s="24">
        <f>+'Gov Rev'!AI686-'Gov Exp'!AE686+'Gov Exp'!AI686-'Gov Exp'!AK686</f>
        <v>-1.0000000009313226E-2</v>
      </c>
      <c r="AM686" s="15" t="str">
        <f>'Gov Rev'!A686</f>
        <v>West Farmington</v>
      </c>
      <c r="AN686" s="15" t="str">
        <f t="shared" si="31"/>
        <v>West Farmington</v>
      </c>
      <c r="AO686" s="15" t="b">
        <f t="shared" si="32"/>
        <v>1</v>
      </c>
    </row>
    <row r="687" spans="1:41" ht="12" customHeight="1" x14ac:dyDescent="0.2">
      <c r="A687" s="1" t="s">
        <v>938</v>
      </c>
      <c r="B687" s="1"/>
      <c r="C687" s="1" t="s">
        <v>432</v>
      </c>
      <c r="E687" s="24">
        <v>1158213.04</v>
      </c>
      <c r="G687" s="24">
        <v>0</v>
      </c>
      <c r="I687" s="24">
        <v>61084.54</v>
      </c>
      <c r="K687" s="24">
        <v>106374.2</v>
      </c>
      <c r="M687" s="24">
        <v>0</v>
      </c>
      <c r="O687" s="24">
        <v>413869.01</v>
      </c>
      <c r="Q687" s="24">
        <v>1125550.02</v>
      </c>
      <c r="S687" s="24">
        <v>206535</v>
      </c>
      <c r="U687" s="24">
        <v>377987.81</v>
      </c>
      <c r="W687" s="24">
        <v>94671.76</v>
      </c>
      <c r="Y687" s="24">
        <v>18757</v>
      </c>
      <c r="AA687" s="24">
        <v>0</v>
      </c>
      <c r="AC687" s="24">
        <v>408.75</v>
      </c>
      <c r="AE687" s="24">
        <f t="shared" si="30"/>
        <v>3563451.13</v>
      </c>
      <c r="AF687" s="24"/>
      <c r="AG687" s="24">
        <v>436994.66</v>
      </c>
      <c r="AH687" s="24"/>
      <c r="AI687" s="24">
        <v>1585337.78</v>
      </c>
      <c r="AJ687" s="24"/>
      <c r="AK687" s="24">
        <v>2022332.44</v>
      </c>
      <c r="AL687" s="24">
        <f>+'Gov Rev'!AI687-'Gov Exp'!AE687+'Gov Exp'!AI687-'Gov Exp'!AK687</f>
        <v>0</v>
      </c>
      <c r="AM687" s="15" t="str">
        <f>'Gov Rev'!A687</f>
        <v>West Jefferson</v>
      </c>
      <c r="AN687" s="15" t="str">
        <f t="shared" si="31"/>
        <v>West Jefferson</v>
      </c>
      <c r="AO687" s="15" t="b">
        <f t="shared" si="32"/>
        <v>1</v>
      </c>
    </row>
    <row r="688" spans="1:41" ht="12" customHeight="1" x14ac:dyDescent="0.2">
      <c r="A688" s="15" t="s">
        <v>310</v>
      </c>
      <c r="C688" s="15" t="s">
        <v>308</v>
      </c>
      <c r="E688" s="24">
        <v>360476</v>
      </c>
      <c r="G688" s="24">
        <v>4382</v>
      </c>
      <c r="I688" s="24">
        <v>1965</v>
      </c>
      <c r="K688" s="24">
        <v>0</v>
      </c>
      <c r="M688" s="24">
        <v>4013</v>
      </c>
      <c r="O688" s="24">
        <v>136703</v>
      </c>
      <c r="Q688" s="24">
        <v>106074</v>
      </c>
      <c r="S688" s="24">
        <v>79311</v>
      </c>
      <c r="U688" s="24">
        <v>42490</v>
      </c>
      <c r="W688" s="24">
        <v>1265</v>
      </c>
      <c r="Y688" s="24">
        <v>53272</v>
      </c>
      <c r="AA688" s="24">
        <v>65000</v>
      </c>
      <c r="AC688" s="24">
        <v>0</v>
      </c>
      <c r="AE688" s="24">
        <f t="shared" si="30"/>
        <v>854951</v>
      </c>
      <c r="AF688" s="24"/>
      <c r="AG688" s="24">
        <v>-2210</v>
      </c>
      <c r="AH688" s="24"/>
      <c r="AI688" s="24">
        <v>336003</v>
      </c>
      <c r="AJ688" s="24"/>
      <c r="AK688" s="24">
        <v>333793</v>
      </c>
      <c r="AL688" s="24">
        <f>+'Gov Rev'!AI688-'Gov Exp'!AE688+'Gov Exp'!AI688-'Gov Exp'!AK688</f>
        <v>0</v>
      </c>
      <c r="AM688" s="15" t="str">
        <f>'Gov Rev'!A688</f>
        <v>West Lafayette</v>
      </c>
      <c r="AN688" s="15" t="str">
        <f t="shared" si="31"/>
        <v>West Lafayette</v>
      </c>
      <c r="AO688" s="15" t="b">
        <f t="shared" si="32"/>
        <v>1</v>
      </c>
    </row>
    <row r="689" spans="1:41" ht="12" customHeight="1" x14ac:dyDescent="0.2">
      <c r="A689" s="15" t="s">
        <v>899</v>
      </c>
      <c r="C689" s="15" t="s">
        <v>513</v>
      </c>
      <c r="D689" s="28"/>
      <c r="E689" s="24">
        <v>22839.91</v>
      </c>
      <c r="G689" s="24">
        <v>0</v>
      </c>
      <c r="I689" s="24">
        <v>0</v>
      </c>
      <c r="K689" s="24">
        <v>0</v>
      </c>
      <c r="M689" s="24">
        <v>825</v>
      </c>
      <c r="O689" s="24">
        <v>5485</v>
      </c>
      <c r="Q689" s="24">
        <v>31508.68</v>
      </c>
      <c r="S689" s="24">
        <v>0</v>
      </c>
      <c r="U689" s="24">
        <v>756.24</v>
      </c>
      <c r="W689" s="24">
        <v>0</v>
      </c>
      <c r="Y689" s="24">
        <v>1500</v>
      </c>
      <c r="AA689" s="24">
        <v>0</v>
      </c>
      <c r="AC689" s="24">
        <v>5436.16</v>
      </c>
      <c r="AE689" s="24">
        <f t="shared" si="30"/>
        <v>68350.989999999991</v>
      </c>
      <c r="AF689" s="24"/>
      <c r="AG689" s="24">
        <v>6756.66</v>
      </c>
      <c r="AH689" s="24"/>
      <c r="AI689" s="24">
        <v>174933.38</v>
      </c>
      <c r="AJ689" s="24"/>
      <c r="AK689" s="24">
        <v>181690.04</v>
      </c>
      <c r="AL689" s="24">
        <f>+'Gov Rev'!AI689-'Gov Exp'!AE689+'Gov Exp'!AI689-'Gov Exp'!AK689</f>
        <v>0</v>
      </c>
      <c r="AM689" s="15" t="str">
        <f>'Gov Rev'!A689</f>
        <v>West Leipsic</v>
      </c>
      <c r="AN689" s="15" t="str">
        <f t="shared" si="31"/>
        <v>West Leipsic</v>
      </c>
      <c r="AO689" s="15" t="b">
        <f t="shared" si="32"/>
        <v>1</v>
      </c>
    </row>
    <row r="690" spans="1:41" ht="12" customHeight="1" x14ac:dyDescent="0.2">
      <c r="A690" s="1" t="s">
        <v>135</v>
      </c>
      <c r="B690" s="1"/>
      <c r="C690" s="1" t="s">
        <v>775</v>
      </c>
      <c r="E690" s="24">
        <v>319676.86</v>
      </c>
      <c r="G690" s="24">
        <v>66177.48</v>
      </c>
      <c r="I690" s="24">
        <v>11244.09</v>
      </c>
      <c r="K690" s="24">
        <v>2182.1</v>
      </c>
      <c r="M690" s="24">
        <v>0</v>
      </c>
      <c r="O690" s="24">
        <v>100616.5</v>
      </c>
      <c r="Q690" s="24">
        <v>133204.75</v>
      </c>
      <c r="S690" s="24">
        <v>37499.94</v>
      </c>
      <c r="U690" s="24">
        <v>16600</v>
      </c>
      <c r="W690" s="24">
        <v>1983.08</v>
      </c>
      <c r="Y690" s="24">
        <v>60372.9</v>
      </c>
      <c r="AA690" s="24">
        <v>6140.68</v>
      </c>
      <c r="AC690" s="24">
        <v>10000</v>
      </c>
      <c r="AE690" s="24">
        <f t="shared" si="30"/>
        <v>765698.38</v>
      </c>
      <c r="AF690" s="24"/>
      <c r="AG690" s="24">
        <v>-126103.07</v>
      </c>
      <c r="AH690" s="24"/>
      <c r="AI690" s="24">
        <v>724480.51</v>
      </c>
      <c r="AJ690" s="24"/>
      <c r="AK690" s="24">
        <v>598377.43999999994</v>
      </c>
      <c r="AL690" s="24">
        <f>+'Gov Rev'!AI690-'Gov Exp'!AE690+'Gov Exp'!AI690-'Gov Exp'!AK690</f>
        <v>0</v>
      </c>
      <c r="AM690" s="15" t="str">
        <f>'Gov Rev'!A690</f>
        <v>West Liberty</v>
      </c>
      <c r="AN690" s="15" t="str">
        <f t="shared" si="31"/>
        <v>West Liberty</v>
      </c>
      <c r="AO690" s="15" t="b">
        <f t="shared" si="32"/>
        <v>1</v>
      </c>
    </row>
    <row r="691" spans="1:41" ht="12" customHeight="1" x14ac:dyDescent="0.2">
      <c r="A691" s="15" t="s">
        <v>900</v>
      </c>
      <c r="C691" s="15" t="s">
        <v>509</v>
      </c>
      <c r="D691" s="28"/>
      <c r="E691" s="24">
        <f>8198+61555</f>
        <v>69753</v>
      </c>
      <c r="G691" s="24">
        <v>0</v>
      </c>
      <c r="I691" s="24">
        <v>1142</v>
      </c>
      <c r="K691" s="24">
        <v>0</v>
      </c>
      <c r="M691" s="24">
        <v>31699</v>
      </c>
      <c r="O691" s="24">
        <v>11742</v>
      </c>
      <c r="Q691" s="24">
        <v>148810</v>
      </c>
      <c r="S691" s="24">
        <v>71661</v>
      </c>
      <c r="U691" s="24">
        <v>0</v>
      </c>
      <c r="W691" s="24">
        <v>0</v>
      </c>
      <c r="Y691" s="24">
        <v>88307</v>
      </c>
      <c r="AA691" s="24">
        <v>0</v>
      </c>
      <c r="AC691" s="24">
        <v>0</v>
      </c>
      <c r="AE691" s="24">
        <f t="shared" si="30"/>
        <v>423114</v>
      </c>
      <c r="AF691" s="24"/>
      <c r="AG691" s="24">
        <v>51666</v>
      </c>
      <c r="AH691" s="24"/>
      <c r="AI691" s="24">
        <f>AK691-AG691</f>
        <v>342233</v>
      </c>
      <c r="AJ691" s="24"/>
      <c r="AK691" s="24">
        <v>393899</v>
      </c>
      <c r="AL691" s="24">
        <f>+'Gov Rev'!AI691-'Gov Exp'!AE691+'Gov Exp'!AI691-'Gov Exp'!AK691</f>
        <v>0</v>
      </c>
      <c r="AM691" s="15" t="str">
        <f>'Gov Rev'!A691</f>
        <v>West Manchester</v>
      </c>
      <c r="AN691" s="15" t="str">
        <f t="shared" si="31"/>
        <v>West Manchester</v>
      </c>
      <c r="AO691" s="15" t="b">
        <f t="shared" si="32"/>
        <v>1</v>
      </c>
    </row>
    <row r="692" spans="1:41" ht="12" customHeight="1" x14ac:dyDescent="0.2">
      <c r="A692" s="1" t="s">
        <v>939</v>
      </c>
      <c r="B692" s="1"/>
      <c r="C692" s="1" t="s">
        <v>446</v>
      </c>
      <c r="E692" s="24">
        <v>19456.52</v>
      </c>
      <c r="G692" s="24">
        <v>4165.33</v>
      </c>
      <c r="I692" s="24">
        <v>10727.25</v>
      </c>
      <c r="K692" s="24">
        <v>2710.08</v>
      </c>
      <c r="M692" s="24">
        <v>0</v>
      </c>
      <c r="O692" s="24">
        <v>55779.63</v>
      </c>
      <c r="Q692" s="24">
        <v>79955.98</v>
      </c>
      <c r="S692" s="24">
        <v>9082.17</v>
      </c>
      <c r="U692" s="24">
        <v>7640.13</v>
      </c>
      <c r="W692" s="24">
        <v>1074.75</v>
      </c>
      <c r="Y692" s="24">
        <v>47900</v>
      </c>
      <c r="AA692" s="24">
        <v>0</v>
      </c>
      <c r="AC692" s="24">
        <v>0</v>
      </c>
      <c r="AE692" s="24">
        <f t="shared" si="30"/>
        <v>238491.84</v>
      </c>
      <c r="AF692" s="24"/>
      <c r="AG692" s="24">
        <v>21725.21</v>
      </c>
      <c r="AH692" s="24"/>
      <c r="AI692" s="24">
        <v>506035.73</v>
      </c>
      <c r="AJ692" s="24"/>
      <c r="AK692" s="24">
        <v>527760.93999999994</v>
      </c>
      <c r="AL692" s="24">
        <f>+'Gov Rev'!AI692-'Gov Exp'!AE692+'Gov Exp'!AI692-'Gov Exp'!AK692</f>
        <v>0</v>
      </c>
      <c r="AM692" s="15" t="str">
        <f>'Gov Rev'!A692</f>
        <v>West Mansfield</v>
      </c>
      <c r="AN692" s="15" t="str">
        <f t="shared" si="31"/>
        <v>West Mansfield</v>
      </c>
      <c r="AO692" s="15" t="b">
        <f t="shared" si="32"/>
        <v>1</v>
      </c>
    </row>
    <row r="693" spans="1:41" ht="12" customHeight="1" x14ac:dyDescent="0.2">
      <c r="A693" s="1" t="s">
        <v>262</v>
      </c>
      <c r="B693" s="1"/>
      <c r="C693" s="1" t="s">
        <v>813</v>
      </c>
      <c r="E693" s="24">
        <v>13064.92</v>
      </c>
      <c r="G693" s="24">
        <v>0</v>
      </c>
      <c r="I693" s="24">
        <v>134.74</v>
      </c>
      <c r="K693" s="24">
        <v>0</v>
      </c>
      <c r="M693" s="24">
        <v>50</v>
      </c>
      <c r="O693" s="24">
        <v>5132.0200000000004</v>
      </c>
      <c r="Q693" s="24">
        <v>21010.01</v>
      </c>
      <c r="S693" s="24">
        <v>0</v>
      </c>
      <c r="U693" s="24">
        <v>0</v>
      </c>
      <c r="W693" s="24">
        <v>0</v>
      </c>
      <c r="Y693" s="24">
        <v>0</v>
      </c>
      <c r="AA693" s="24">
        <v>0</v>
      </c>
      <c r="AC693" s="24">
        <v>0</v>
      </c>
      <c r="AE693" s="24">
        <f t="shared" si="30"/>
        <v>39391.69</v>
      </c>
      <c r="AF693" s="24"/>
      <c r="AG693" s="24">
        <v>8536.93</v>
      </c>
      <c r="AH693" s="24"/>
      <c r="AI693" s="24">
        <v>33949.550000000003</v>
      </c>
      <c r="AJ693" s="24"/>
      <c r="AK693" s="24">
        <v>42486.48</v>
      </c>
      <c r="AL693" s="24">
        <f>+'Gov Rev'!AI693-'Gov Exp'!AE693+'Gov Exp'!AI693-'Gov Exp'!AK693</f>
        <v>0</v>
      </c>
      <c r="AM693" s="15" t="str">
        <f>'Gov Rev'!A693</f>
        <v>West Millgrove</v>
      </c>
      <c r="AN693" s="15" t="str">
        <f t="shared" si="31"/>
        <v>West Millgrove</v>
      </c>
      <c r="AO693" s="15" t="b">
        <f t="shared" si="32"/>
        <v>1</v>
      </c>
    </row>
    <row r="694" spans="1:41" ht="12" customHeight="1" x14ac:dyDescent="0.2">
      <c r="A694" s="15" t="s">
        <v>472</v>
      </c>
      <c r="C694" s="15" t="s">
        <v>470</v>
      </c>
      <c r="E694" s="24">
        <v>883469</v>
      </c>
      <c r="G694" s="24">
        <v>0</v>
      </c>
      <c r="I694" s="24">
        <v>27820</v>
      </c>
      <c r="K694" s="24">
        <v>677</v>
      </c>
      <c r="M694" s="24">
        <v>0</v>
      </c>
      <c r="O694" s="24">
        <v>230273</v>
      </c>
      <c r="Q694" s="24">
        <v>544437</v>
      </c>
      <c r="S694" s="24">
        <v>107861</v>
      </c>
      <c r="U694" s="24">
        <v>231532</v>
      </c>
      <c r="W694" s="24">
        <v>18600</v>
      </c>
      <c r="Y694" s="24">
        <v>70000</v>
      </c>
      <c r="AA694" s="24">
        <v>0</v>
      </c>
      <c r="AC694" s="24">
        <v>0</v>
      </c>
      <c r="AE694" s="24">
        <f t="shared" si="30"/>
        <v>2114669</v>
      </c>
      <c r="AF694" s="24"/>
      <c r="AG694" s="24">
        <v>-169806</v>
      </c>
      <c r="AH694" s="24"/>
      <c r="AI694" s="24">
        <v>2746027</v>
      </c>
      <c r="AJ694" s="24"/>
      <c r="AK694" s="24">
        <v>2576221</v>
      </c>
      <c r="AL694" s="24">
        <f>+'Gov Rev'!AI694-'Gov Exp'!AE694+'Gov Exp'!AI694-'Gov Exp'!AK694</f>
        <v>0</v>
      </c>
      <c r="AM694" s="15" t="str">
        <f>'Gov Rev'!A694</f>
        <v>West Milton</v>
      </c>
      <c r="AN694" s="15" t="str">
        <f t="shared" si="31"/>
        <v>West Milton</v>
      </c>
      <c r="AO694" s="15" t="b">
        <f t="shared" si="32"/>
        <v>1</v>
      </c>
    </row>
    <row r="695" spans="1:41" ht="12" hidden="1" customHeight="1" x14ac:dyDescent="0.2">
      <c r="A695" s="1" t="s">
        <v>351</v>
      </c>
      <c r="B695" s="1"/>
      <c r="C695" s="1" t="s">
        <v>350</v>
      </c>
      <c r="AE695" s="24">
        <f t="shared" si="30"/>
        <v>0</v>
      </c>
      <c r="AF695" s="24"/>
      <c r="AG695" s="24"/>
      <c r="AH695" s="24"/>
      <c r="AI695" s="24"/>
      <c r="AJ695" s="24"/>
      <c r="AK695" s="24"/>
      <c r="AL695" s="24">
        <f>+'Gov Rev'!AI695-'Gov Exp'!AE695+'Gov Exp'!AI695-'Gov Exp'!AK695</f>
        <v>0</v>
      </c>
      <c r="AM695" s="15" t="str">
        <f>'Gov Rev'!A695</f>
        <v>West Rushville</v>
      </c>
      <c r="AN695" s="15" t="str">
        <f t="shared" si="31"/>
        <v>West Rushville</v>
      </c>
      <c r="AO695" s="15" t="b">
        <f t="shared" si="32"/>
        <v>1</v>
      </c>
    </row>
    <row r="696" spans="1:41" ht="12" customHeight="1" x14ac:dyDescent="0.2">
      <c r="A696" s="1" t="s">
        <v>250</v>
      </c>
      <c r="B696" s="1"/>
      <c r="C696" s="1" t="s">
        <v>811</v>
      </c>
      <c r="E696" s="24">
        <v>160272.16</v>
      </c>
      <c r="G696" s="24">
        <v>35688.99</v>
      </c>
      <c r="I696" s="24">
        <v>52527.7</v>
      </c>
      <c r="K696" s="24">
        <v>7202.17</v>
      </c>
      <c r="M696" s="24">
        <v>0</v>
      </c>
      <c r="O696" s="24">
        <v>54311.35</v>
      </c>
      <c r="Q696" s="24">
        <v>121541.17</v>
      </c>
      <c r="S696" s="24">
        <v>519365.88</v>
      </c>
      <c r="U696" s="24">
        <v>76532.460000000006</v>
      </c>
      <c r="W696" s="24">
        <v>38625.800000000003</v>
      </c>
      <c r="Y696" s="24">
        <v>0</v>
      </c>
      <c r="AA696" s="24">
        <v>1085.9100000000001</v>
      </c>
      <c r="AC696" s="24">
        <v>0</v>
      </c>
      <c r="AE696" s="24">
        <f t="shared" si="30"/>
        <v>1067153.5899999999</v>
      </c>
      <c r="AF696" s="24"/>
      <c r="AG696" s="24">
        <v>15210.08</v>
      </c>
      <c r="AH696" s="24"/>
      <c r="AI696" s="24">
        <v>342033.94</v>
      </c>
      <c r="AJ696" s="24"/>
      <c r="AK696" s="24">
        <v>357244.02</v>
      </c>
      <c r="AL696" s="24">
        <f>+'Gov Rev'!AI696-'Gov Exp'!AE696+'Gov Exp'!AI696-'Gov Exp'!AK696</f>
        <v>0</v>
      </c>
      <c r="AM696" s="15" t="str">
        <f>'Gov Rev'!A696</f>
        <v>West Salem</v>
      </c>
      <c r="AN696" s="15" t="str">
        <f t="shared" si="31"/>
        <v>West Salem</v>
      </c>
      <c r="AO696" s="15" t="b">
        <f t="shared" si="32"/>
        <v>1</v>
      </c>
    </row>
    <row r="697" spans="1:41" ht="12" customHeight="1" x14ac:dyDescent="0.2">
      <c r="A697" s="1" t="s">
        <v>0</v>
      </c>
      <c r="B697" s="1"/>
      <c r="C697" s="1" t="s">
        <v>661</v>
      </c>
      <c r="E697" s="24">
        <v>588676.18000000005</v>
      </c>
      <c r="G697" s="24">
        <v>11939.95</v>
      </c>
      <c r="I697" s="24">
        <v>0</v>
      </c>
      <c r="K697" s="24">
        <v>475</v>
      </c>
      <c r="M697" s="24">
        <v>0</v>
      </c>
      <c r="O697" s="24">
        <v>116302.34</v>
      </c>
      <c r="Q697" s="24">
        <v>350598.33</v>
      </c>
      <c r="S697" s="24">
        <v>31035</v>
      </c>
      <c r="U697" s="24">
        <v>0</v>
      </c>
      <c r="W697" s="24">
        <v>0</v>
      </c>
      <c r="Y697" s="24">
        <v>0</v>
      </c>
      <c r="AA697" s="24">
        <v>0</v>
      </c>
      <c r="AC697" s="24">
        <v>7663.72</v>
      </c>
      <c r="AE697" s="24">
        <f t="shared" si="30"/>
        <v>1106690.52</v>
      </c>
      <c r="AF697" s="24"/>
      <c r="AG697" s="24">
        <v>401909.66</v>
      </c>
      <c r="AH697" s="24"/>
      <c r="AI697" s="24">
        <v>1112726.6100000001</v>
      </c>
      <c r="AJ697" s="24"/>
      <c r="AK697" s="24">
        <v>1514636.27</v>
      </c>
      <c r="AL697" s="24">
        <f>+'Gov Rev'!AI697-'Gov Exp'!AE697+'Gov Exp'!AI697-'Gov Exp'!AK697</f>
        <v>0</v>
      </c>
      <c r="AM697" s="15" t="str">
        <f>'Gov Rev'!A697</f>
        <v>West Union</v>
      </c>
      <c r="AN697" s="15" t="str">
        <f t="shared" si="31"/>
        <v>West Union</v>
      </c>
      <c r="AO697" s="15" t="b">
        <f t="shared" si="32"/>
        <v>1</v>
      </c>
    </row>
    <row r="698" spans="1:41" ht="12" customHeight="1" x14ac:dyDescent="0.2">
      <c r="A698" s="1" t="s">
        <v>599</v>
      </c>
      <c r="B698" s="1"/>
      <c r="C698" s="1" t="s">
        <v>596</v>
      </c>
      <c r="E698" s="24">
        <v>240096.22</v>
      </c>
      <c r="G698" s="24">
        <v>3934</v>
      </c>
      <c r="I698" s="24">
        <v>10558.73</v>
      </c>
      <c r="K698" s="24">
        <v>2732.54</v>
      </c>
      <c r="M698" s="24">
        <v>21967.38</v>
      </c>
      <c r="O698" s="24">
        <v>56974.74</v>
      </c>
      <c r="Q698" s="24">
        <v>227225.55</v>
      </c>
      <c r="S698" s="24">
        <v>617394.43000000005</v>
      </c>
      <c r="U698" s="24">
        <v>150426.93</v>
      </c>
      <c r="W698" s="24">
        <v>45902.19</v>
      </c>
      <c r="Y698" s="24">
        <v>0</v>
      </c>
      <c r="AA698" s="24">
        <v>0</v>
      </c>
      <c r="AC698" s="24">
        <v>0</v>
      </c>
      <c r="AE698" s="24">
        <f t="shared" si="30"/>
        <v>1377212.7099999997</v>
      </c>
      <c r="AF698" s="24"/>
      <c r="AG698" s="24">
        <v>-110295.36</v>
      </c>
      <c r="AH698" s="24"/>
      <c r="AI698" s="24">
        <v>1352904.52</v>
      </c>
      <c r="AJ698" s="24"/>
      <c r="AK698" s="24">
        <v>1242609.1599999999</v>
      </c>
      <c r="AL698" s="24">
        <f>+'Gov Rev'!AI698-'Gov Exp'!AE698+'Gov Exp'!AI698-'Gov Exp'!AK698</f>
        <v>0</v>
      </c>
      <c r="AM698" s="15" t="str">
        <f>'Gov Rev'!A698</f>
        <v>West Unity</v>
      </c>
      <c r="AN698" s="15" t="str">
        <f t="shared" si="31"/>
        <v>West Unity</v>
      </c>
      <c r="AO698" s="15" t="b">
        <f t="shared" si="32"/>
        <v>1</v>
      </c>
    </row>
    <row r="699" spans="1:41" ht="12" customHeight="1" x14ac:dyDescent="0.2">
      <c r="A699" s="1" t="s">
        <v>155</v>
      </c>
      <c r="B699" s="1"/>
      <c r="C699" s="1" t="s">
        <v>781</v>
      </c>
      <c r="E699" s="24">
        <v>224782.35</v>
      </c>
      <c r="G699" s="24">
        <v>2194.16</v>
      </c>
      <c r="I699" s="24">
        <v>20254.32</v>
      </c>
      <c r="K699" s="24">
        <v>7888.58</v>
      </c>
      <c r="M699" s="24">
        <v>0</v>
      </c>
      <c r="O699" s="24">
        <v>167577.46</v>
      </c>
      <c r="Q699" s="24">
        <v>346429.39</v>
      </c>
      <c r="S699" s="24">
        <v>474132.12</v>
      </c>
      <c r="U699" s="24">
        <v>0</v>
      </c>
      <c r="W699" s="24">
        <v>0</v>
      </c>
      <c r="Y699" s="24">
        <v>116000</v>
      </c>
      <c r="AA699" s="24">
        <v>0</v>
      </c>
      <c r="AC699" s="24">
        <v>0</v>
      </c>
      <c r="AE699" s="24">
        <f t="shared" si="30"/>
        <v>1359258.38</v>
      </c>
      <c r="AF699" s="24"/>
      <c r="AG699" s="24">
        <v>-40648.879999999997</v>
      </c>
      <c r="AH699" s="24"/>
      <c r="AI699" s="24">
        <v>1131120.72</v>
      </c>
      <c r="AJ699" s="24"/>
      <c r="AK699" s="24">
        <v>1090471.8400000001</v>
      </c>
      <c r="AL699" s="24">
        <f>+'Gov Rev'!AI699-'Gov Exp'!AE699+'Gov Exp'!AI699-'Gov Exp'!AK699</f>
        <v>0</v>
      </c>
      <c r="AM699" s="15" t="str">
        <f>'Gov Rev'!A699</f>
        <v>Westfield Cente</v>
      </c>
      <c r="AN699" s="15" t="str">
        <f t="shared" si="31"/>
        <v>Westfield Cente</v>
      </c>
      <c r="AO699" s="15" t="b">
        <f t="shared" si="32"/>
        <v>1</v>
      </c>
    </row>
    <row r="700" spans="1:41" ht="12" customHeight="1" x14ac:dyDescent="0.2">
      <c r="A700" s="15" t="s">
        <v>263</v>
      </c>
      <c r="C700" s="15" t="s">
        <v>601</v>
      </c>
      <c r="E700" s="24">
        <v>235213.44</v>
      </c>
      <c r="G700" s="24">
        <v>37574.46</v>
      </c>
      <c r="I700" s="24">
        <v>34279.339999999997</v>
      </c>
      <c r="K700" s="24">
        <v>40</v>
      </c>
      <c r="M700" s="24">
        <v>5560.94</v>
      </c>
      <c r="O700" s="24">
        <v>60130.26</v>
      </c>
      <c r="Q700" s="24">
        <v>153110.10999999999</v>
      </c>
      <c r="S700" s="24">
        <v>106446.97</v>
      </c>
      <c r="U700" s="24">
        <v>0</v>
      </c>
      <c r="W700" s="24">
        <v>0</v>
      </c>
      <c r="Y700" s="24">
        <v>0</v>
      </c>
      <c r="AA700" s="24">
        <v>0</v>
      </c>
      <c r="AC700" s="24">
        <v>0</v>
      </c>
      <c r="AE700" s="24">
        <f t="shared" si="30"/>
        <v>632355.52</v>
      </c>
      <c r="AF700" s="24"/>
      <c r="AG700" s="24">
        <v>67854.399999999994</v>
      </c>
      <c r="AH700" s="24"/>
      <c r="AI700" s="24">
        <v>900906.26</v>
      </c>
      <c r="AJ700" s="24"/>
      <c r="AK700" s="24">
        <v>968760.66</v>
      </c>
      <c r="AL700" s="24">
        <f>+'Gov Rev'!AI700-'Gov Exp'!AE700+'Gov Exp'!AI700-'Gov Exp'!AK700</f>
        <v>0</v>
      </c>
      <c r="AM700" s="15" t="str">
        <f>'Gov Rev'!A700</f>
        <v>Weston</v>
      </c>
      <c r="AN700" s="15" t="str">
        <f t="shared" si="31"/>
        <v>Weston</v>
      </c>
      <c r="AO700" s="15" t="b">
        <f t="shared" si="32"/>
        <v>1</v>
      </c>
    </row>
    <row r="701" spans="1:41" ht="12" customHeight="1" x14ac:dyDescent="0.2">
      <c r="A701" s="15" t="s">
        <v>901</v>
      </c>
      <c r="C701" s="15" t="s">
        <v>609</v>
      </c>
      <c r="E701" s="24">
        <v>236</v>
      </c>
      <c r="G701" s="24">
        <v>1466</v>
      </c>
      <c r="I701" s="24">
        <v>0</v>
      </c>
      <c r="K701" s="24">
        <v>0</v>
      </c>
      <c r="M701" s="24">
        <v>0</v>
      </c>
      <c r="O701" s="24">
        <v>29086</v>
      </c>
      <c r="Q701" s="24">
        <v>9536</v>
      </c>
      <c r="S701" s="24">
        <v>0</v>
      </c>
      <c r="U701" s="24">
        <v>0</v>
      </c>
      <c r="W701" s="24">
        <v>0</v>
      </c>
      <c r="Y701" s="24">
        <v>0</v>
      </c>
      <c r="AA701" s="24">
        <v>0</v>
      </c>
      <c r="AC701" s="24">
        <v>0</v>
      </c>
      <c r="AE701" s="24">
        <f t="shared" si="30"/>
        <v>40324</v>
      </c>
      <c r="AF701" s="24"/>
      <c r="AG701" s="24">
        <v>46598</v>
      </c>
      <c r="AH701" s="24"/>
      <c r="AI701" s="24">
        <v>90468</v>
      </c>
      <c r="AJ701" s="24"/>
      <c r="AK701" s="24">
        <v>137066</v>
      </c>
      <c r="AL701" s="24">
        <f>+'Gov Rev'!AI701-'Gov Exp'!AE701+'Gov Exp'!AI701-'Gov Exp'!AK701</f>
        <v>0</v>
      </c>
      <c r="AM701" s="15" t="str">
        <f>'Gov Rev'!A701</f>
        <v>Wharton</v>
      </c>
      <c r="AN701" s="15" t="str">
        <f t="shared" si="31"/>
        <v>Wharton</v>
      </c>
      <c r="AO701" s="15" t="b">
        <f t="shared" si="32"/>
        <v>1</v>
      </c>
    </row>
    <row r="702" spans="1:41" ht="12" customHeight="1" x14ac:dyDescent="0.2">
      <c r="A702" s="15" t="s">
        <v>458</v>
      </c>
      <c r="C702" s="15" t="s">
        <v>455</v>
      </c>
      <c r="E702" s="24">
        <v>2110014</v>
      </c>
      <c r="G702" s="24">
        <v>18500</v>
      </c>
      <c r="I702" s="24">
        <v>107620</v>
      </c>
      <c r="K702" s="24">
        <v>85421</v>
      </c>
      <c r="M702" s="24">
        <v>265807</v>
      </c>
      <c r="O702" s="24">
        <v>223490</v>
      </c>
      <c r="Q702" s="24">
        <v>540523</v>
      </c>
      <c r="S702" s="24">
        <v>827753</v>
      </c>
      <c r="U702" s="24">
        <v>292929</v>
      </c>
      <c r="W702" s="24">
        <v>0</v>
      </c>
      <c r="Y702" s="24">
        <v>2674252</v>
      </c>
      <c r="AA702" s="24">
        <v>0</v>
      </c>
      <c r="AC702" s="24">
        <v>1592604</v>
      </c>
      <c r="AE702" s="24">
        <f t="shared" si="30"/>
        <v>8738913</v>
      </c>
      <c r="AF702" s="24"/>
      <c r="AG702" s="24">
        <v>217391</v>
      </c>
      <c r="AH702" s="24"/>
      <c r="AI702" s="24">
        <v>3097278</v>
      </c>
      <c r="AJ702" s="24"/>
      <c r="AK702" s="24">
        <v>3314669</v>
      </c>
      <c r="AL702" s="24">
        <f>+'Gov Rev'!AI702-'Gov Exp'!AE702+'Gov Exp'!AI702-'Gov Exp'!AK702</f>
        <v>0</v>
      </c>
      <c r="AM702" s="15" t="str">
        <f>'Gov Rev'!A702</f>
        <v>Whitehouse</v>
      </c>
      <c r="AN702" s="15" t="str">
        <f t="shared" si="31"/>
        <v>Whitehouse</v>
      </c>
      <c r="AO702" s="15" t="b">
        <f t="shared" si="32"/>
        <v>1</v>
      </c>
    </row>
    <row r="703" spans="1:41" ht="12" customHeight="1" x14ac:dyDescent="0.2">
      <c r="A703" s="15" t="s">
        <v>577</v>
      </c>
      <c r="C703" s="15" t="s">
        <v>82</v>
      </c>
      <c r="E703" s="24">
        <v>5137</v>
      </c>
      <c r="G703" s="24">
        <v>840</v>
      </c>
      <c r="I703" s="24">
        <v>0</v>
      </c>
      <c r="K703" s="24">
        <v>290</v>
      </c>
      <c r="M703" s="24">
        <v>0</v>
      </c>
      <c r="O703" s="24">
        <v>0</v>
      </c>
      <c r="Q703" s="24">
        <v>10602</v>
      </c>
      <c r="S703" s="24">
        <v>0</v>
      </c>
      <c r="U703" s="24">
        <v>0</v>
      </c>
      <c r="W703" s="24">
        <v>0</v>
      </c>
      <c r="Y703" s="24">
        <v>0</v>
      </c>
      <c r="AA703" s="24">
        <v>0</v>
      </c>
      <c r="AC703" s="24">
        <v>0</v>
      </c>
      <c r="AE703" s="24">
        <f t="shared" si="30"/>
        <v>16869</v>
      </c>
      <c r="AF703" s="24"/>
      <c r="AG703" s="24">
        <v>1331</v>
      </c>
      <c r="AH703" s="24"/>
      <c r="AI703" s="24">
        <v>42087</v>
      </c>
      <c r="AJ703" s="24"/>
      <c r="AK703" s="24">
        <v>43418</v>
      </c>
      <c r="AL703" s="24">
        <f>+'Gov Rev'!AI703-'Gov Exp'!AE703+'Gov Exp'!AI703-'Gov Exp'!AK703</f>
        <v>0</v>
      </c>
      <c r="AM703" s="15" t="str">
        <f>'Gov Rev'!A703</f>
        <v>Wilkesville</v>
      </c>
      <c r="AN703" s="15" t="str">
        <f t="shared" si="31"/>
        <v>Wilkesville</v>
      </c>
      <c r="AO703" s="15" t="b">
        <f t="shared" si="32"/>
        <v>1</v>
      </c>
    </row>
    <row r="704" spans="1:41" ht="12" customHeight="1" x14ac:dyDescent="0.2">
      <c r="A704" s="1" t="s">
        <v>40</v>
      </c>
      <c r="B704" s="1"/>
      <c r="C704" s="1" t="s">
        <v>747</v>
      </c>
      <c r="E704" s="24">
        <v>335796.05</v>
      </c>
      <c r="G704" s="24">
        <v>6446.89</v>
      </c>
      <c r="I704" s="24">
        <v>20080.490000000002</v>
      </c>
      <c r="K704" s="24">
        <v>44084.09</v>
      </c>
      <c r="M704" s="24">
        <v>0</v>
      </c>
      <c r="O704" s="24">
        <v>141611.21</v>
      </c>
      <c r="Q704" s="24">
        <v>151558.92000000001</v>
      </c>
      <c r="S704" s="24">
        <v>150458.51</v>
      </c>
      <c r="U704" s="24">
        <v>0</v>
      </c>
      <c r="W704" s="24">
        <v>0</v>
      </c>
      <c r="Y704" s="24">
        <v>25000</v>
      </c>
      <c r="AA704" s="24">
        <v>0</v>
      </c>
      <c r="AC704" s="24">
        <v>0</v>
      </c>
      <c r="AE704" s="24">
        <f t="shared" si="30"/>
        <v>875036.16000000003</v>
      </c>
      <c r="AF704" s="24"/>
      <c r="AG704" s="24">
        <v>-2630.06</v>
      </c>
      <c r="AH704" s="24"/>
      <c r="AI704" s="24">
        <v>1030278.22</v>
      </c>
      <c r="AJ704" s="24"/>
      <c r="AK704" s="24">
        <v>1027648.16</v>
      </c>
      <c r="AL704" s="24">
        <f>+'Gov Rev'!AI704-'Gov Exp'!AE704+'Gov Exp'!AI704-'Gov Exp'!AK704</f>
        <v>0</v>
      </c>
      <c r="AM704" s="15" t="str">
        <f>'Gov Rev'!A704</f>
        <v>Williamsburg</v>
      </c>
      <c r="AN704" s="15" t="str">
        <f t="shared" si="31"/>
        <v>Williamsburg</v>
      </c>
      <c r="AO704" s="15" t="b">
        <f t="shared" si="32"/>
        <v>1</v>
      </c>
    </row>
    <row r="705" spans="1:41" ht="12" customHeight="1" x14ac:dyDescent="0.2">
      <c r="A705" s="1" t="s">
        <v>192</v>
      </c>
      <c r="B705" s="1"/>
      <c r="C705" s="1" t="s">
        <v>793</v>
      </c>
      <c r="D705" s="28"/>
      <c r="E705" s="24">
        <v>41214.480000000003</v>
      </c>
      <c r="G705" s="24">
        <v>2177.2199999999998</v>
      </c>
      <c r="I705" s="24">
        <v>3324.19</v>
      </c>
      <c r="K705" s="24">
        <v>2043.18</v>
      </c>
      <c r="M705" s="24">
        <v>0</v>
      </c>
      <c r="O705" s="24">
        <v>19066.43</v>
      </c>
      <c r="Q705" s="24">
        <v>39532.71</v>
      </c>
      <c r="S705" s="24">
        <v>5774</v>
      </c>
      <c r="U705" s="24">
        <v>3407.48</v>
      </c>
      <c r="W705" s="24">
        <v>0</v>
      </c>
      <c r="Y705" s="24">
        <v>0</v>
      </c>
      <c r="AA705" s="24">
        <v>0</v>
      </c>
      <c r="AC705" s="24">
        <v>0</v>
      </c>
      <c r="AE705" s="24">
        <f t="shared" si="30"/>
        <v>116539.68999999999</v>
      </c>
      <c r="AF705" s="24"/>
      <c r="AG705" s="24">
        <v>-127.87</v>
      </c>
      <c r="AH705" s="24"/>
      <c r="AI705" s="24">
        <v>366147.18</v>
      </c>
      <c r="AJ705" s="24"/>
      <c r="AK705" s="24">
        <v>366019.31</v>
      </c>
      <c r="AL705" s="24">
        <f>+'Gov Rev'!AI705-'Gov Exp'!AE705+'Gov Exp'!AI705-'Gov Exp'!AK705</f>
        <v>0</v>
      </c>
      <c r="AM705" s="15" t="str">
        <f>'Gov Rev'!A705</f>
        <v>Williamsport</v>
      </c>
      <c r="AN705" s="15" t="str">
        <f t="shared" si="31"/>
        <v>Williamsport</v>
      </c>
      <c r="AO705" s="15" t="b">
        <f t="shared" si="32"/>
        <v>1</v>
      </c>
    </row>
    <row r="706" spans="1:41" ht="12" customHeight="1" x14ac:dyDescent="0.2">
      <c r="A706" s="1" t="s">
        <v>576</v>
      </c>
      <c r="B706" s="1"/>
      <c r="C706" s="1" t="s">
        <v>572</v>
      </c>
      <c r="E706" s="24">
        <v>60665.27</v>
      </c>
      <c r="G706" s="24">
        <v>10597.03</v>
      </c>
      <c r="I706" s="24">
        <v>9780.16</v>
      </c>
      <c r="K706" s="24">
        <v>0</v>
      </c>
      <c r="M706" s="24">
        <v>0</v>
      </c>
      <c r="O706" s="24">
        <v>17101.080000000002</v>
      </c>
      <c r="Q706" s="24">
        <v>73592.55</v>
      </c>
      <c r="S706" s="24">
        <v>26545.22</v>
      </c>
      <c r="U706" s="24">
        <v>0</v>
      </c>
      <c r="W706" s="24">
        <v>0</v>
      </c>
      <c r="Y706" s="24">
        <v>0</v>
      </c>
      <c r="AA706" s="24">
        <v>0</v>
      </c>
      <c r="AC706" s="24">
        <v>0</v>
      </c>
      <c r="AE706" s="24">
        <f t="shared" si="30"/>
        <v>198281.31000000003</v>
      </c>
      <c r="AF706" s="24"/>
      <c r="AG706" s="24">
        <v>-11007.12</v>
      </c>
      <c r="AH706" s="24"/>
      <c r="AI706" s="24">
        <v>309849.83</v>
      </c>
      <c r="AJ706" s="24"/>
      <c r="AK706" s="24">
        <v>298842.71000000002</v>
      </c>
      <c r="AL706" s="24">
        <f>+'Gov Rev'!AI706-'Gov Exp'!AE706+'Gov Exp'!AI706-'Gov Exp'!AK706</f>
        <v>0</v>
      </c>
      <c r="AM706" s="15" t="str">
        <f>'Gov Rev'!A706</f>
        <v>Willshire</v>
      </c>
      <c r="AN706" s="15" t="str">
        <f t="shared" si="31"/>
        <v>Willshire</v>
      </c>
      <c r="AO706" s="15" t="b">
        <f t="shared" si="32"/>
        <v>1</v>
      </c>
    </row>
    <row r="707" spans="1:41" ht="12" customHeight="1" x14ac:dyDescent="0.2">
      <c r="A707" s="1" t="s">
        <v>845</v>
      </c>
      <c r="B707" s="1"/>
      <c r="C707" s="1" t="s">
        <v>804</v>
      </c>
      <c r="E707" s="24">
        <v>67432.23</v>
      </c>
      <c r="G707" s="24">
        <v>1029</v>
      </c>
      <c r="I707" s="24">
        <v>826.67</v>
      </c>
      <c r="K707" s="24">
        <v>100</v>
      </c>
      <c r="M707" s="24">
        <v>418</v>
      </c>
      <c r="O707" s="24">
        <v>11921.97</v>
      </c>
      <c r="Q707" s="24">
        <v>33709.68</v>
      </c>
      <c r="S707" s="24">
        <v>0</v>
      </c>
      <c r="U707" s="24">
        <v>2831.05</v>
      </c>
      <c r="W707" s="24">
        <v>428.27</v>
      </c>
      <c r="Y707" s="24">
        <v>0</v>
      </c>
      <c r="AA707" s="24">
        <v>0</v>
      </c>
      <c r="AC707" s="24">
        <v>0</v>
      </c>
      <c r="AE707" s="24">
        <f t="shared" si="30"/>
        <v>118696.87</v>
      </c>
      <c r="AF707" s="24"/>
      <c r="AG707" s="24">
        <v>11114.72</v>
      </c>
      <c r="AH707" s="24"/>
      <c r="AI707" s="24">
        <v>81141.09</v>
      </c>
      <c r="AJ707" s="24"/>
      <c r="AK707" s="24">
        <v>92255.81</v>
      </c>
      <c r="AL707" s="24">
        <f>+'Gov Rev'!AI707-'Gov Exp'!AE707+'Gov Exp'!AI707-'Gov Exp'!AK707</f>
        <v>0</v>
      </c>
      <c r="AM707" s="15" t="str">
        <f>'Gov Rev'!A707</f>
        <v>Wilmot</v>
      </c>
      <c r="AN707" s="15" t="str">
        <f t="shared" si="31"/>
        <v>Wilmot</v>
      </c>
      <c r="AO707" s="15" t="b">
        <f t="shared" si="32"/>
        <v>1</v>
      </c>
    </row>
    <row r="708" spans="1:41" ht="12" customHeight="1" x14ac:dyDescent="0.2">
      <c r="A708" s="15" t="s">
        <v>478</v>
      </c>
      <c r="C708" s="15" t="s">
        <v>474</v>
      </c>
      <c r="E708" s="24">
        <f>2999+5384</f>
        <v>8383</v>
      </c>
      <c r="G708" s="24">
        <v>0</v>
      </c>
      <c r="I708" s="24">
        <v>0</v>
      </c>
      <c r="K708" s="24">
        <v>0</v>
      </c>
      <c r="M708" s="24">
        <v>0</v>
      </c>
      <c r="O708" s="24">
        <v>0</v>
      </c>
      <c r="Q708" s="24">
        <f>9846+268</f>
        <v>10114</v>
      </c>
      <c r="S708" s="24">
        <v>0</v>
      </c>
      <c r="U708" s="24">
        <v>2977</v>
      </c>
      <c r="W708" s="24">
        <v>0</v>
      </c>
      <c r="Y708" s="24">
        <v>0</v>
      </c>
      <c r="AA708" s="24">
        <v>0</v>
      </c>
      <c r="AC708" s="24">
        <v>0</v>
      </c>
      <c r="AE708" s="24">
        <f t="shared" si="30"/>
        <v>21474</v>
      </c>
      <c r="AF708" s="24"/>
      <c r="AG708" s="24">
        <f>3619+7276+23</f>
        <v>10918</v>
      </c>
      <c r="AH708" s="24"/>
      <c r="AI708" s="24">
        <f>AK708-AG708</f>
        <v>39418</v>
      </c>
      <c r="AJ708" s="24"/>
      <c r="AK708" s="24">
        <f>4302+45144+890</f>
        <v>50336</v>
      </c>
      <c r="AL708" s="24">
        <f>+'Gov Rev'!AI708-'Gov Exp'!AE708+'Gov Exp'!AI708-'Gov Exp'!AK708</f>
        <v>0</v>
      </c>
      <c r="AM708" s="15" t="str">
        <f>'Gov Rev'!A708</f>
        <v>Wilson</v>
      </c>
      <c r="AN708" s="15" t="str">
        <f t="shared" si="31"/>
        <v>Wilson</v>
      </c>
      <c r="AO708" s="15" t="b">
        <f t="shared" si="32"/>
        <v>1</v>
      </c>
    </row>
    <row r="709" spans="1:41" ht="12" customHeight="1" x14ac:dyDescent="0.2">
      <c r="A709" s="1" t="s">
        <v>1</v>
      </c>
      <c r="B709" s="1"/>
      <c r="C709" s="1" t="s">
        <v>661</v>
      </c>
      <c r="E709" s="24">
        <v>160202.57</v>
      </c>
      <c r="G709" s="24">
        <v>0</v>
      </c>
      <c r="I709" s="24">
        <v>0</v>
      </c>
      <c r="K709" s="24">
        <v>0</v>
      </c>
      <c r="M709" s="24">
        <v>0</v>
      </c>
      <c r="O709" s="24">
        <v>44310.79</v>
      </c>
      <c r="Q709" s="24">
        <v>53877.57</v>
      </c>
      <c r="S709" s="24">
        <v>36741.81</v>
      </c>
      <c r="U709" s="24">
        <v>6840.28</v>
      </c>
      <c r="W709" s="24">
        <v>462.82</v>
      </c>
      <c r="Y709" s="24">
        <v>0</v>
      </c>
      <c r="AA709" s="24">
        <v>29208</v>
      </c>
      <c r="AC709" s="24">
        <v>0</v>
      </c>
      <c r="AE709" s="24">
        <f t="shared" si="30"/>
        <v>331643.84000000003</v>
      </c>
      <c r="AF709" s="24"/>
      <c r="AG709" s="24">
        <v>62244.47</v>
      </c>
      <c r="AH709" s="24"/>
      <c r="AI709" s="24">
        <v>114149.49</v>
      </c>
      <c r="AJ709" s="24"/>
      <c r="AK709" s="24">
        <v>176393.96</v>
      </c>
      <c r="AL709" s="24">
        <f>+'Gov Rev'!AI709-'Gov Exp'!AE709+'Gov Exp'!AI709-'Gov Exp'!AK709</f>
        <v>0</v>
      </c>
      <c r="AM709" s="15" t="str">
        <f>'Gov Rev'!A709</f>
        <v>Winchester</v>
      </c>
      <c r="AN709" s="15" t="str">
        <f t="shared" si="31"/>
        <v>Winchester</v>
      </c>
      <c r="AO709" s="15" t="b">
        <f t="shared" si="32"/>
        <v>1</v>
      </c>
    </row>
    <row r="710" spans="1:41" ht="12" customHeight="1" x14ac:dyDescent="0.2">
      <c r="A710" s="1"/>
      <c r="B710" s="1"/>
      <c r="C710" s="1"/>
      <c r="AE710" s="24"/>
      <c r="AF710" s="24"/>
      <c r="AG710" s="24"/>
      <c r="AH710" s="24"/>
      <c r="AI710" s="24"/>
      <c r="AJ710" s="24"/>
      <c r="AK710" s="24"/>
      <c r="AL710" s="24"/>
    </row>
    <row r="711" spans="1:41" ht="12" customHeight="1" x14ac:dyDescent="0.2">
      <c r="A711" s="1"/>
      <c r="B711" s="1"/>
      <c r="C711" s="1"/>
      <c r="AE711" s="77" t="s">
        <v>850</v>
      </c>
      <c r="AF711" s="24"/>
      <c r="AG711" s="24"/>
      <c r="AH711" s="24"/>
      <c r="AI711" s="24"/>
      <c r="AJ711" s="24"/>
      <c r="AK711" s="24"/>
      <c r="AL711" s="24"/>
    </row>
    <row r="712" spans="1:41" ht="12" customHeight="1" x14ac:dyDescent="0.2">
      <c r="A712" s="1"/>
      <c r="B712" s="1"/>
      <c r="C712" s="1"/>
      <c r="AE712" s="24"/>
      <c r="AF712" s="24"/>
      <c r="AG712" s="24"/>
      <c r="AH712" s="24"/>
      <c r="AI712" s="24"/>
      <c r="AJ712" s="24"/>
      <c r="AK712" s="24"/>
      <c r="AL712" s="24"/>
    </row>
    <row r="713" spans="1:41" ht="12" customHeight="1" x14ac:dyDescent="0.2">
      <c r="A713" s="1" t="s">
        <v>197</v>
      </c>
      <c r="B713" s="1"/>
      <c r="C713" s="1" t="s">
        <v>795</v>
      </c>
      <c r="E713" s="91">
        <v>600961</v>
      </c>
      <c r="F713" s="91"/>
      <c r="G713" s="91">
        <v>0</v>
      </c>
      <c r="H713" s="91"/>
      <c r="I713" s="91">
        <v>3122.33</v>
      </c>
      <c r="J713" s="91"/>
      <c r="K713" s="91">
        <v>17720.96</v>
      </c>
      <c r="L713" s="91"/>
      <c r="M713" s="91">
        <v>4689.88</v>
      </c>
      <c r="N713" s="91"/>
      <c r="O713" s="91">
        <v>86025.87</v>
      </c>
      <c r="P713" s="91"/>
      <c r="Q713" s="91">
        <v>206723.8</v>
      </c>
      <c r="R713" s="91"/>
      <c r="S713" s="91">
        <v>222000</v>
      </c>
      <c r="T713" s="91"/>
      <c r="U713" s="91">
        <v>0</v>
      </c>
      <c r="V713" s="91"/>
      <c r="W713" s="91">
        <v>0</v>
      </c>
      <c r="X713" s="91"/>
      <c r="Y713" s="91">
        <v>0</v>
      </c>
      <c r="Z713" s="91"/>
      <c r="AA713" s="91">
        <v>0</v>
      </c>
      <c r="AB713" s="91"/>
      <c r="AC713" s="91">
        <v>0</v>
      </c>
      <c r="AD713" s="91"/>
      <c r="AE713" s="91">
        <f t="shared" si="30"/>
        <v>1141243.8399999999</v>
      </c>
      <c r="AF713" s="24"/>
      <c r="AG713" s="24">
        <v>-43263.39</v>
      </c>
      <c r="AH713" s="24"/>
      <c r="AI713" s="24">
        <v>248281.22</v>
      </c>
      <c r="AJ713" s="24"/>
      <c r="AK713" s="24">
        <v>205017.83</v>
      </c>
      <c r="AL713" s="24">
        <f>+'Gov Rev'!AI710-'Gov Exp'!AE713+'Gov Exp'!AI713-'Gov Exp'!AK713</f>
        <v>0</v>
      </c>
      <c r="AM713" s="15" t="str">
        <f>'Gov Rev'!A710</f>
        <v>Windham</v>
      </c>
      <c r="AN713" s="15" t="str">
        <f t="shared" si="31"/>
        <v>Windham</v>
      </c>
      <c r="AO713" s="15" t="b">
        <f t="shared" si="32"/>
        <v>1</v>
      </c>
    </row>
    <row r="714" spans="1:41" ht="12" customHeight="1" x14ac:dyDescent="0.2">
      <c r="A714" s="1" t="s">
        <v>846</v>
      </c>
      <c r="B714" s="1"/>
      <c r="C714" s="1" t="s">
        <v>770</v>
      </c>
      <c r="E714" s="24">
        <v>1017247.35</v>
      </c>
      <c r="G714" s="24">
        <v>12021.22</v>
      </c>
      <c r="I714" s="24">
        <v>48506.2</v>
      </c>
      <c r="K714" s="24">
        <v>3803.14</v>
      </c>
      <c r="M714" s="24">
        <v>0</v>
      </c>
      <c r="O714" s="24">
        <v>600746.32999999996</v>
      </c>
      <c r="Q714" s="24">
        <v>308283.65999999997</v>
      </c>
      <c r="S714" s="24">
        <v>0</v>
      </c>
      <c r="U714" s="24">
        <v>67458.570000000007</v>
      </c>
      <c r="W714" s="24">
        <v>14794.31</v>
      </c>
      <c r="Y714" s="24">
        <v>128160</v>
      </c>
      <c r="AA714" s="24">
        <v>120400</v>
      </c>
      <c r="AC714" s="24">
        <v>0</v>
      </c>
      <c r="AE714" s="24">
        <f t="shared" si="30"/>
        <v>2321420.7799999998</v>
      </c>
      <c r="AF714" s="24"/>
      <c r="AG714" s="24">
        <v>-7064.36</v>
      </c>
      <c r="AH714" s="24"/>
      <c r="AI714" s="24">
        <v>492834.65</v>
      </c>
      <c r="AJ714" s="24"/>
      <c r="AK714" s="24">
        <v>485770.29</v>
      </c>
      <c r="AL714" s="24">
        <f>+'Gov Rev'!AI711-'Gov Exp'!AE714+'Gov Exp'!AI714-'Gov Exp'!AK714</f>
        <v>6.4028427004814148E-10</v>
      </c>
      <c r="AM714" s="15" t="str">
        <f>'Gov Rev'!A711</f>
        <v>Wintersville</v>
      </c>
      <c r="AN714" s="15" t="str">
        <f t="shared" si="31"/>
        <v>Wintersville</v>
      </c>
      <c r="AO714" s="15" t="b">
        <f t="shared" si="32"/>
        <v>1</v>
      </c>
    </row>
    <row r="715" spans="1:41" ht="12" hidden="1" customHeight="1" x14ac:dyDescent="0.2">
      <c r="A715" s="1" t="s">
        <v>386</v>
      </c>
      <c r="B715" s="1"/>
      <c r="C715" s="1" t="s">
        <v>378</v>
      </c>
      <c r="AE715" s="24">
        <f t="shared" si="30"/>
        <v>0</v>
      </c>
      <c r="AF715" s="24"/>
      <c r="AG715" s="24"/>
      <c r="AH715" s="24"/>
      <c r="AI715" s="24"/>
      <c r="AJ715" s="24"/>
      <c r="AK715" s="24"/>
      <c r="AL715" s="24">
        <f>+'Gov Rev'!AI712-'Gov Exp'!AE715+'Gov Exp'!AI715-'Gov Exp'!AK715</f>
        <v>0</v>
      </c>
      <c r="AM715" s="15" t="str">
        <f>'Gov Rev'!A712</f>
        <v>Woodlawn</v>
      </c>
      <c r="AN715" s="15" t="str">
        <f t="shared" si="31"/>
        <v>Woodlawn</v>
      </c>
      <c r="AO715" s="15" t="b">
        <f t="shared" si="32"/>
        <v>1</v>
      </c>
    </row>
    <row r="716" spans="1:41" ht="12" hidden="1" customHeight="1" x14ac:dyDescent="0.2">
      <c r="A716" s="1" t="s">
        <v>327</v>
      </c>
      <c r="B716" s="1"/>
      <c r="C716" s="1" t="s">
        <v>316</v>
      </c>
      <c r="AE716" s="24">
        <f t="shared" si="30"/>
        <v>0</v>
      </c>
      <c r="AF716" s="24"/>
      <c r="AG716" s="24"/>
      <c r="AH716" s="24"/>
      <c r="AI716" s="24"/>
      <c r="AJ716" s="24"/>
      <c r="AK716" s="24"/>
      <c r="AL716" s="24">
        <f>+'Gov Rev'!AI713-'Gov Exp'!AE716+'Gov Exp'!AI716-'Gov Exp'!AK716</f>
        <v>0</v>
      </c>
      <c r="AM716" s="15" t="str">
        <f>'Gov Rev'!A713</f>
        <v>Woodmere</v>
      </c>
      <c r="AN716" s="15" t="str">
        <f t="shared" si="31"/>
        <v>Woodmere</v>
      </c>
      <c r="AO716" s="15" t="b">
        <f t="shared" si="32"/>
        <v>1</v>
      </c>
    </row>
    <row r="717" spans="1:41" ht="12" customHeight="1" x14ac:dyDescent="0.2">
      <c r="A717" s="1" t="s">
        <v>166</v>
      </c>
      <c r="B717" s="1"/>
      <c r="C717" s="1" t="s">
        <v>785</v>
      </c>
      <c r="E717" s="24">
        <v>373842.09</v>
      </c>
      <c r="G717" s="24">
        <v>107742.24</v>
      </c>
      <c r="I717" s="24">
        <v>83856.69</v>
      </c>
      <c r="K717" s="24">
        <v>0</v>
      </c>
      <c r="M717" s="24">
        <v>0</v>
      </c>
      <c r="O717" s="24">
        <v>280998.03999999998</v>
      </c>
      <c r="Q717" s="24">
        <v>211766.97</v>
      </c>
      <c r="S717" s="24">
        <v>146474.03</v>
      </c>
      <c r="U717" s="24">
        <v>99859.12</v>
      </c>
      <c r="W717" s="24">
        <v>24933.11</v>
      </c>
      <c r="Y717" s="24">
        <v>9526.36</v>
      </c>
      <c r="AA717" s="24">
        <v>0</v>
      </c>
      <c r="AC717" s="24">
        <v>0</v>
      </c>
      <c r="AE717" s="24">
        <f t="shared" si="30"/>
        <v>1338998.6500000004</v>
      </c>
      <c r="AF717" s="24"/>
      <c r="AG717" s="24">
        <v>10419.86</v>
      </c>
      <c r="AH717" s="24"/>
      <c r="AI717" s="24">
        <v>1797089.31</v>
      </c>
      <c r="AJ717" s="24"/>
      <c r="AK717" s="24">
        <v>1807509.17</v>
      </c>
      <c r="AL717" s="24">
        <f>+'Gov Rev'!AI714-'Gov Exp'!AE717+'Gov Exp'!AI717-'Gov Exp'!AK717</f>
        <v>0</v>
      </c>
      <c r="AM717" s="15" t="str">
        <f>'Gov Rev'!A714</f>
        <v>Woodsfield</v>
      </c>
      <c r="AN717" s="15" t="str">
        <f t="shared" si="31"/>
        <v>Woodsfield</v>
      </c>
      <c r="AO717" s="15" t="b">
        <f t="shared" si="32"/>
        <v>1</v>
      </c>
    </row>
    <row r="718" spans="1:41" ht="12" customHeight="1" x14ac:dyDescent="0.2">
      <c r="A718" s="1" t="s">
        <v>290</v>
      </c>
      <c r="B718" s="1"/>
      <c r="C718" s="1" t="s">
        <v>287</v>
      </c>
      <c r="E718" s="24">
        <v>5000</v>
      </c>
      <c r="G718" s="24">
        <v>703.28</v>
      </c>
      <c r="I718" s="24">
        <v>5772.01</v>
      </c>
      <c r="K718" s="24">
        <v>487.5</v>
      </c>
      <c r="M718" s="24">
        <v>0</v>
      </c>
      <c r="O718" s="24">
        <v>14881.98</v>
      </c>
      <c r="Q718" s="24">
        <v>43272.34</v>
      </c>
      <c r="S718" s="24">
        <v>13837</v>
      </c>
      <c r="U718" s="24">
        <v>0</v>
      </c>
      <c r="W718" s="24">
        <v>0</v>
      </c>
      <c r="Y718" s="24">
        <v>0</v>
      </c>
      <c r="AA718" s="24">
        <v>0</v>
      </c>
      <c r="AC718" s="24">
        <v>126</v>
      </c>
      <c r="AE718" s="24">
        <f t="shared" si="30"/>
        <v>84080.11</v>
      </c>
      <c r="AF718" s="24"/>
      <c r="AG718" s="24">
        <v>17835.11</v>
      </c>
      <c r="AH718" s="24"/>
      <c r="AI718" s="24">
        <v>63093.85</v>
      </c>
      <c r="AJ718" s="24"/>
      <c r="AK718" s="24">
        <v>80928.960000000006</v>
      </c>
      <c r="AL718" s="24">
        <f>+'Gov Rev'!AI715-'Gov Exp'!AE718+'Gov Exp'!AI718-'Gov Exp'!AK718</f>
        <v>0</v>
      </c>
      <c r="AM718" s="15" t="str">
        <f>'Gov Rev'!A715</f>
        <v>Woodstock</v>
      </c>
      <c r="AN718" s="15" t="str">
        <f t="shared" si="31"/>
        <v>Woodstock</v>
      </c>
      <c r="AO718" s="15" t="b">
        <f t="shared" si="32"/>
        <v>1</v>
      </c>
    </row>
    <row r="719" spans="1:41" ht="12" customHeight="1" x14ac:dyDescent="0.2">
      <c r="A719" s="15" t="s">
        <v>527</v>
      </c>
      <c r="C719" s="15" t="s">
        <v>525</v>
      </c>
      <c r="E719" s="24">
        <v>353384</v>
      </c>
      <c r="G719" s="24">
        <v>1243</v>
      </c>
      <c r="I719" s="24">
        <v>49612</v>
      </c>
      <c r="K719" s="24">
        <v>6126</v>
      </c>
      <c r="M719" s="24">
        <v>0</v>
      </c>
      <c r="O719" s="24">
        <v>118838</v>
      </c>
      <c r="Q719" s="24">
        <v>145862</v>
      </c>
      <c r="S719" s="24">
        <v>82983</v>
      </c>
      <c r="U719" s="24">
        <v>0</v>
      </c>
      <c r="W719" s="24">
        <v>0</v>
      </c>
      <c r="Y719" s="24">
        <v>76485</v>
      </c>
      <c r="AA719" s="24">
        <v>0</v>
      </c>
      <c r="AC719" s="24">
        <v>0</v>
      </c>
      <c r="AE719" s="24">
        <f t="shared" si="30"/>
        <v>834533</v>
      </c>
      <c r="AF719" s="24"/>
      <c r="AG719" s="24">
        <v>-47272</v>
      </c>
      <c r="AH719" s="24"/>
      <c r="AI719" s="24">
        <f>AK719-AG719</f>
        <v>399964</v>
      </c>
      <c r="AJ719" s="24"/>
      <c r="AK719" s="24">
        <v>352692</v>
      </c>
      <c r="AL719" s="24">
        <f>+'Gov Rev'!AI716-'Gov Exp'!AE719+'Gov Exp'!AI719-'Gov Exp'!AK719</f>
        <v>0</v>
      </c>
      <c r="AM719" s="15" t="str">
        <f>'Gov Rev'!A716</f>
        <v>Woodville</v>
      </c>
      <c r="AN719" s="15" t="str">
        <f t="shared" si="31"/>
        <v>Woodville</v>
      </c>
      <c r="AO719" s="15" t="b">
        <f t="shared" si="32"/>
        <v>1</v>
      </c>
    </row>
    <row r="720" spans="1:41" ht="12" customHeight="1" x14ac:dyDescent="0.2">
      <c r="A720" s="1" t="s">
        <v>240</v>
      </c>
      <c r="B720" s="1"/>
      <c r="C720" s="1" t="s">
        <v>808</v>
      </c>
      <c r="E720" s="24">
        <v>72451.66</v>
      </c>
      <c r="G720" s="24">
        <v>1000</v>
      </c>
      <c r="I720" s="24">
        <v>0</v>
      </c>
      <c r="K720" s="24">
        <v>0</v>
      </c>
      <c r="M720" s="24">
        <v>0</v>
      </c>
      <c r="O720" s="24">
        <v>324994.48</v>
      </c>
      <c r="Q720" s="24">
        <v>46520.65</v>
      </c>
      <c r="S720" s="24">
        <v>64.63</v>
      </c>
      <c r="U720" s="24">
        <v>4948.93</v>
      </c>
      <c r="W720" s="24">
        <v>0</v>
      </c>
      <c r="Y720" s="24">
        <v>0</v>
      </c>
      <c r="AA720" s="24">
        <v>0</v>
      </c>
      <c r="AC720" s="24">
        <v>3952</v>
      </c>
      <c r="AE720" s="24">
        <f t="shared" si="30"/>
        <v>453932.35000000003</v>
      </c>
      <c r="AF720" s="24"/>
      <c r="AG720" s="24">
        <v>25430.65</v>
      </c>
      <c r="AH720" s="24"/>
      <c r="AI720" s="24">
        <v>151872.10999999999</v>
      </c>
      <c r="AJ720" s="24"/>
      <c r="AK720" s="24">
        <v>177302.76</v>
      </c>
      <c r="AL720" s="24">
        <f>+'Gov Rev'!AI717-'Gov Exp'!AE720+'Gov Exp'!AI720-'Gov Exp'!AK720</f>
        <v>0</v>
      </c>
      <c r="AM720" s="15" t="str">
        <f>'Gov Rev'!A717</f>
        <v>Wren</v>
      </c>
      <c r="AN720" s="15" t="str">
        <f t="shared" si="31"/>
        <v>Wren</v>
      </c>
      <c r="AO720" s="15" t="b">
        <f t="shared" si="32"/>
        <v>1</v>
      </c>
    </row>
    <row r="721" spans="1:41" ht="12" customHeight="1" x14ac:dyDescent="0.2">
      <c r="A721" s="1" t="s">
        <v>231</v>
      </c>
      <c r="B721" s="1"/>
      <c r="C721" s="1" t="s">
        <v>805</v>
      </c>
      <c r="E721" s="24">
        <v>30451.23</v>
      </c>
      <c r="G721" s="24">
        <v>0</v>
      </c>
      <c r="I721" s="24">
        <v>0</v>
      </c>
      <c r="K721" s="24">
        <v>0</v>
      </c>
      <c r="M721" s="24">
        <v>0</v>
      </c>
      <c r="O721" s="24">
        <v>1200</v>
      </c>
      <c r="Q721" s="24">
        <v>9036.51</v>
      </c>
      <c r="S721" s="24">
        <v>0</v>
      </c>
      <c r="U721" s="24">
        <v>0</v>
      </c>
      <c r="W721" s="24">
        <v>0</v>
      </c>
      <c r="Y721" s="24">
        <v>0</v>
      </c>
      <c r="AA721" s="24">
        <v>0</v>
      </c>
      <c r="AC721" s="24">
        <v>0</v>
      </c>
      <c r="AE721" s="24">
        <f t="shared" si="30"/>
        <v>40687.74</v>
      </c>
      <c r="AF721" s="24"/>
      <c r="AG721" s="24">
        <v>-1770.91</v>
      </c>
      <c r="AH721" s="24"/>
      <c r="AI721" s="24">
        <v>60165.39</v>
      </c>
      <c r="AJ721" s="24"/>
      <c r="AK721" s="24">
        <v>58394.48</v>
      </c>
      <c r="AL721" s="24">
        <f>+'Gov Rev'!AI718-'Gov Exp'!AE721+'Gov Exp'!AI721-'Gov Exp'!AK721</f>
        <v>0</v>
      </c>
      <c r="AM721" s="15" t="str">
        <f>'Gov Rev'!A718</f>
        <v>Yankee Lake</v>
      </c>
      <c r="AN721" s="15" t="str">
        <f t="shared" si="31"/>
        <v>Yankee Lake</v>
      </c>
      <c r="AO721" s="15" t="b">
        <f t="shared" si="32"/>
        <v>1</v>
      </c>
    </row>
    <row r="722" spans="1:41" ht="12" customHeight="1" x14ac:dyDescent="0.2">
      <c r="A722" s="15" t="s">
        <v>374</v>
      </c>
      <c r="C722" s="15" t="s">
        <v>371</v>
      </c>
      <c r="E722" s="24">
        <v>1286784</v>
      </c>
      <c r="G722" s="24">
        <v>15476</v>
      </c>
      <c r="I722" s="24">
        <v>455944</v>
      </c>
      <c r="K722" s="24">
        <v>246412</v>
      </c>
      <c r="M722" s="24">
        <v>0</v>
      </c>
      <c r="O722" s="24">
        <v>362451</v>
      </c>
      <c r="Q722" s="24">
        <v>594488</v>
      </c>
      <c r="S722" s="24">
        <v>502559</v>
      </c>
      <c r="U722" s="24">
        <v>127748</v>
      </c>
      <c r="W722" s="24">
        <v>0</v>
      </c>
      <c r="Y722" s="24">
        <v>450706</v>
      </c>
      <c r="AA722" s="24">
        <v>0</v>
      </c>
      <c r="AC722" s="24">
        <v>0</v>
      </c>
      <c r="AE722" s="24">
        <f t="shared" si="30"/>
        <v>4042568</v>
      </c>
      <c r="AF722" s="24"/>
      <c r="AG722" s="24">
        <v>-366626</v>
      </c>
      <c r="AH722" s="24"/>
      <c r="AI722" s="24">
        <v>3860545</v>
      </c>
      <c r="AJ722" s="24"/>
      <c r="AK722" s="24">
        <v>3493919</v>
      </c>
      <c r="AL722" s="24">
        <f>+'Gov Rev'!AI719-'Gov Exp'!AE722+'Gov Exp'!AI722-'Gov Exp'!AK722</f>
        <v>0</v>
      </c>
      <c r="AM722" s="15" t="str">
        <f>'Gov Rev'!A719</f>
        <v>Yellow Springs</v>
      </c>
      <c r="AN722" s="15" t="str">
        <f t="shared" si="31"/>
        <v>Yellow Springs</v>
      </c>
      <c r="AO722" s="15" t="b">
        <f t="shared" si="32"/>
        <v>1</v>
      </c>
    </row>
    <row r="723" spans="1:41" ht="12" customHeight="1" x14ac:dyDescent="0.2">
      <c r="A723" s="15" t="s">
        <v>340</v>
      </c>
      <c r="C723" s="15" t="s">
        <v>329</v>
      </c>
      <c r="E723" s="24">
        <v>5439</v>
      </c>
      <c r="G723" s="24">
        <v>358</v>
      </c>
      <c r="I723" s="24">
        <v>0</v>
      </c>
      <c r="K723" s="24">
        <v>0</v>
      </c>
      <c r="M723" s="24">
        <v>5781</v>
      </c>
      <c r="O723" s="24">
        <v>0</v>
      </c>
      <c r="Q723" s="24">
        <v>21546</v>
      </c>
      <c r="S723" s="24">
        <v>0</v>
      </c>
      <c r="U723" s="24">
        <v>4279</v>
      </c>
      <c r="W723" s="24">
        <v>0</v>
      </c>
      <c r="Y723" s="24">
        <v>0</v>
      </c>
      <c r="AA723" s="24">
        <v>0</v>
      </c>
      <c r="AC723" s="24">
        <v>0</v>
      </c>
      <c r="AE723" s="24">
        <f t="shared" si="30"/>
        <v>37403</v>
      </c>
      <c r="AF723" s="24"/>
      <c r="AG723" s="24">
        <v>58782</v>
      </c>
      <c r="AH723" s="24"/>
      <c r="AI723" s="24">
        <f>AK723-AG723</f>
        <v>50541</v>
      </c>
      <c r="AJ723" s="24"/>
      <c r="AK723" s="24">
        <f>59866+34770+14687</f>
        <v>109323</v>
      </c>
      <c r="AL723" s="24">
        <f>+'Gov Rev'!AI720-'Gov Exp'!AE723+'Gov Exp'!AI723-'Gov Exp'!AK723</f>
        <v>0</v>
      </c>
      <c r="AM723" s="15" t="str">
        <f>'Gov Rev'!A720</f>
        <v>Yorkshire</v>
      </c>
      <c r="AN723" s="15" t="str">
        <f t="shared" si="31"/>
        <v>Yorkshire</v>
      </c>
      <c r="AO723" s="15" t="b">
        <f t="shared" si="32"/>
        <v>1</v>
      </c>
    </row>
    <row r="724" spans="1:41" ht="12" customHeight="1" x14ac:dyDescent="0.2">
      <c r="A724" s="15" t="s">
        <v>425</v>
      </c>
      <c r="C724" s="15" t="s">
        <v>420</v>
      </c>
      <c r="E724" s="24">
        <f>33653+192391</f>
        <v>226044</v>
      </c>
      <c r="G724" s="24">
        <v>111886</v>
      </c>
      <c r="I724" s="24">
        <v>0</v>
      </c>
      <c r="K724" s="24">
        <v>218</v>
      </c>
      <c r="M724" s="24">
        <v>0</v>
      </c>
      <c r="O724" s="24">
        <v>92326</v>
      </c>
      <c r="Q724" s="24">
        <v>37340</v>
      </c>
      <c r="S724" s="24">
        <v>49869</v>
      </c>
      <c r="U724" s="24">
        <v>12202</v>
      </c>
      <c r="W724" s="24">
        <v>0</v>
      </c>
      <c r="Y724" s="24">
        <v>0</v>
      </c>
      <c r="AA724" s="24">
        <v>0</v>
      </c>
      <c r="AC724" s="24">
        <v>0</v>
      </c>
      <c r="AE724" s="24">
        <f t="shared" si="30"/>
        <v>529885</v>
      </c>
      <c r="AF724" s="24"/>
      <c r="AG724" s="24">
        <f>-80288+6823-88217</f>
        <v>-161682</v>
      </c>
      <c r="AH724" s="24"/>
      <c r="AI724" s="24">
        <f>341237+'Gen Exp'!AI724</f>
        <v>544024</v>
      </c>
      <c r="AJ724" s="24"/>
      <c r="AK724" s="24">
        <f>260949+6823+'Gen Exp'!AK724</f>
        <v>382342</v>
      </c>
      <c r="AL724" s="24">
        <f>+'Gov Rev'!AI721-'Gov Exp'!AE724+'Gov Exp'!AI724-'Gov Exp'!AK724</f>
        <v>0</v>
      </c>
      <c r="AM724" s="15" t="str">
        <f>'Gov Rev'!A721</f>
        <v>Yorkville</v>
      </c>
      <c r="AN724" s="15" t="str">
        <f t="shared" si="31"/>
        <v>Yorkville</v>
      </c>
      <c r="AO724" s="15" t="b">
        <f t="shared" si="32"/>
        <v>1</v>
      </c>
    </row>
    <row r="725" spans="1:41" ht="12" customHeight="1" x14ac:dyDescent="0.2">
      <c r="A725" s="15" t="s">
        <v>578</v>
      </c>
      <c r="C725" s="15" t="s">
        <v>82</v>
      </c>
      <c r="E725" s="24">
        <v>15072</v>
      </c>
      <c r="G725" s="24">
        <v>0</v>
      </c>
      <c r="I725" s="24">
        <v>1652</v>
      </c>
      <c r="K725" s="24">
        <v>0</v>
      </c>
      <c r="M725" s="24">
        <v>2003</v>
      </c>
      <c r="O725" s="24">
        <v>13256</v>
      </c>
      <c r="Q725" s="24">
        <v>21614</v>
      </c>
      <c r="S725" s="24">
        <v>0</v>
      </c>
      <c r="U725" s="24">
        <v>0</v>
      </c>
      <c r="W725" s="24">
        <v>0</v>
      </c>
      <c r="Y725" s="24">
        <v>0</v>
      </c>
      <c r="AA725" s="24">
        <v>0</v>
      </c>
      <c r="AC725" s="24">
        <v>0</v>
      </c>
      <c r="AE725" s="24">
        <f t="shared" si="30"/>
        <v>53597</v>
      </c>
      <c r="AF725" s="24"/>
      <c r="AG725" s="24">
        <v>14536</v>
      </c>
      <c r="AH725" s="24"/>
      <c r="AI725" s="24">
        <v>142500</v>
      </c>
      <c r="AJ725" s="24"/>
      <c r="AK725" s="24">
        <v>157036</v>
      </c>
      <c r="AL725" s="24">
        <f>+'Gov Rev'!AI722-'Gov Exp'!AE725+'Gov Exp'!AI725-'Gov Exp'!AK725</f>
        <v>0</v>
      </c>
      <c r="AM725" s="15" t="str">
        <f>'Gov Rev'!A722</f>
        <v>Zaleski</v>
      </c>
      <c r="AN725" s="15" t="str">
        <f t="shared" si="31"/>
        <v>Zaleski</v>
      </c>
      <c r="AO725" s="15" t="b">
        <f t="shared" si="32"/>
        <v>1</v>
      </c>
    </row>
    <row r="726" spans="1:41" ht="12" customHeight="1" x14ac:dyDescent="0.2">
      <c r="A726" s="15" t="s">
        <v>449</v>
      </c>
      <c r="C726" s="15" t="s">
        <v>446</v>
      </c>
      <c r="E726" s="24">
        <v>0</v>
      </c>
      <c r="G726" s="24">
        <v>0</v>
      </c>
      <c r="I726" s="24">
        <v>643</v>
      </c>
      <c r="K726" s="24">
        <v>137</v>
      </c>
      <c r="M726" s="24">
        <v>1028</v>
      </c>
      <c r="O726" s="24">
        <v>14544</v>
      </c>
      <c r="Q726" s="24">
        <v>21346</v>
      </c>
      <c r="S726" s="24">
        <v>0</v>
      </c>
      <c r="U726" s="24">
        <v>0</v>
      </c>
      <c r="W726" s="24">
        <v>0</v>
      </c>
      <c r="Y726" s="24">
        <v>0</v>
      </c>
      <c r="AA726" s="24">
        <v>0</v>
      </c>
      <c r="AC726" s="24">
        <v>0</v>
      </c>
      <c r="AE726" s="24">
        <f t="shared" si="30"/>
        <v>37698</v>
      </c>
      <c r="AF726" s="24"/>
      <c r="AG726" s="24">
        <v>-10882</v>
      </c>
      <c r="AH726" s="24"/>
      <c r="AI726" s="24">
        <f>47372+15992</f>
        <v>63364</v>
      </c>
      <c r="AJ726" s="24"/>
      <c r="AK726" s="24">
        <v>52481</v>
      </c>
      <c r="AL726" s="24">
        <f>+'Gov Rev'!AI723-'Gov Exp'!AE726+'Gov Exp'!AI726-'Gov Exp'!AK726</f>
        <v>0</v>
      </c>
      <c r="AM726" s="15" t="str">
        <f>'Gov Rev'!A723</f>
        <v>Zanesfield</v>
      </c>
      <c r="AN726" s="15" t="str">
        <f t="shared" si="31"/>
        <v>Zanesfield</v>
      </c>
      <c r="AO726" s="15" t="b">
        <f t="shared" si="32"/>
        <v>1</v>
      </c>
    </row>
    <row r="727" spans="1:41" ht="12" customHeight="1" x14ac:dyDescent="0.2">
      <c r="A727" s="1" t="s">
        <v>235</v>
      </c>
      <c r="B727" s="1"/>
      <c r="C727" s="1" t="s">
        <v>806</v>
      </c>
      <c r="E727" s="24">
        <v>29709.03</v>
      </c>
      <c r="G727" s="24">
        <v>2465</v>
      </c>
      <c r="I727" s="24">
        <v>0</v>
      </c>
      <c r="K727" s="24">
        <v>32600.400000000001</v>
      </c>
      <c r="M727" s="24">
        <v>0</v>
      </c>
      <c r="O727" s="24">
        <v>9048.82</v>
      </c>
      <c r="Q727" s="24">
        <v>16866.86</v>
      </c>
      <c r="S727" s="24">
        <v>0</v>
      </c>
      <c r="U727" s="24">
        <v>0</v>
      </c>
      <c r="W727" s="24">
        <v>0</v>
      </c>
      <c r="Y727" s="24">
        <v>0</v>
      </c>
      <c r="AA727" s="24">
        <v>0</v>
      </c>
      <c r="AC727" s="24">
        <v>0</v>
      </c>
      <c r="AE727" s="24">
        <f t="shared" si="30"/>
        <v>90690.11</v>
      </c>
      <c r="AF727" s="24"/>
      <c r="AG727" s="24">
        <v>-7683.74</v>
      </c>
      <c r="AH727" s="24"/>
      <c r="AI727" s="24">
        <v>181747.65</v>
      </c>
      <c r="AJ727" s="24"/>
      <c r="AK727" s="24">
        <v>174063.91</v>
      </c>
      <c r="AL727" s="24">
        <f>+'Gov Rev'!AI724-'Gov Exp'!AE727+'Gov Exp'!AI727-'Gov Exp'!AK727</f>
        <v>0</v>
      </c>
      <c r="AM727" s="15" t="str">
        <f>'Gov Rev'!A724</f>
        <v>Zoar</v>
      </c>
      <c r="AN727" s="15" t="str">
        <f t="shared" si="31"/>
        <v>Zoar</v>
      </c>
      <c r="AO727" s="15" t="b">
        <f t="shared" si="32"/>
        <v>1</v>
      </c>
    </row>
  </sheetData>
  <sortState ref="A9:AO703">
    <sortCondition ref="A9:A703"/>
    <sortCondition ref="C9:C703"/>
  </sortState>
  <phoneticPr fontId="1" type="noConversion"/>
  <pageMargins left="0.75" right="0.5" top="0.5" bottom="0.5" header="0" footer="0.3"/>
  <pageSetup scale="80" firstPageNumber="70" fitToWidth="2" fitToHeight="26" pageOrder="overThenDown" orientation="portrait" useFirstPageNumber="1" horizontalDpi="1200" verticalDpi="1200" r:id="rId1"/>
  <headerFooter scaleWithDoc="0" alignWithMargins="0">
    <oddFooter>&amp;C&amp;P</oddFooter>
  </headerFooter>
  <rowBreaks count="10" manualBreakCount="10">
    <brk id="75" max="30" man="1"/>
    <brk id="149" max="30" man="1"/>
    <brk id="221" max="30" man="1"/>
    <brk id="294" max="30" man="1"/>
    <brk id="363" max="30" man="1"/>
    <brk id="433" max="30" man="1"/>
    <brk id="502" max="30" man="1"/>
    <brk id="573" max="30" man="1"/>
    <brk id="641" max="30" man="1"/>
    <brk id="71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Statement of Activities</vt:lpstr>
      <vt:lpstr>Gen Rev</vt:lpstr>
      <vt:lpstr>Gen Exp</vt:lpstr>
      <vt:lpstr>Gov Rev</vt:lpstr>
      <vt:lpstr>Gov Exp</vt:lpstr>
      <vt:lpstr>'Gen Exp'!Print_Area</vt:lpstr>
      <vt:lpstr>'Gen Rev'!Print_Area</vt:lpstr>
      <vt:lpstr>'Gov Exp'!Print_Area</vt:lpstr>
      <vt:lpstr>'Gov Rev'!Print_Area</vt:lpstr>
      <vt:lpstr>'Statement of Activities'!Print_Area</vt:lpstr>
      <vt:lpstr>'Gen Exp'!Print_Titles</vt:lpstr>
      <vt:lpstr>'Gen Rev'!Print_Titles</vt:lpstr>
      <vt:lpstr>'Gov Exp'!Print_Titles</vt:lpstr>
      <vt:lpstr>'Gov Rev'!Print_Titles</vt:lpstr>
      <vt:lpstr>'Statement of Activities'!Print_Titles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G. Wilcheck</dc:creator>
  <cp:lastModifiedBy>Michelle L. Raber</cp:lastModifiedBy>
  <cp:lastPrinted>2013-10-29T15:23:00Z</cp:lastPrinted>
  <dcterms:created xsi:type="dcterms:W3CDTF">2005-07-07T14:55:27Z</dcterms:created>
  <dcterms:modified xsi:type="dcterms:W3CDTF">2013-10-29T15:23:28Z</dcterms:modified>
</cp:coreProperties>
</file>